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utc\Outreach\NETC\Research_Projects\NETC_17-2\Reports\Final Deliverables - All\"/>
    </mc:Choice>
  </mc:AlternateContent>
  <bookViews>
    <workbookView xWindow="0" yWindow="0" windowWidth="19200" windowHeight="11460"/>
  </bookViews>
  <sheets>
    <sheet name="General" sheetId="3" r:id="rId1"/>
    <sheet name="Benefit_category" sheetId="1" r:id="rId2"/>
    <sheet name="Inputs&amp;Assumptions" sheetId="10" r:id="rId3"/>
    <sheet name="Deploy_schedule" sheetId="4" r:id="rId4"/>
    <sheet name="1.Eng&amp;Admin" sheetId="14" r:id="rId5"/>
    <sheet name="2.Cons&amp;Inst" sheetId="15" r:id="rId6"/>
    <sheet name="3.Ops&amp;Maint" sheetId="16" r:id="rId7"/>
    <sheet name="4.Lifecycle" sheetId="17" r:id="rId8"/>
    <sheet name="5.Road_users" sheetId="18" r:id="rId9"/>
    <sheet name="6.Safety" sheetId="23" r:id="rId10"/>
    <sheet name="7.Environment" sheetId="20" r:id="rId11"/>
    <sheet name="8.Risk_Mgmt" sheetId="24" r:id="rId12"/>
    <sheet name="9.Others" sheetId="2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8" i="25" l="1"/>
  <c r="A18" i="24"/>
  <c r="A32" i="20"/>
  <c r="A27" i="23"/>
  <c r="A18" i="18"/>
  <c r="B9" i="10" l="1"/>
  <c r="A16" i="25" l="1"/>
  <c r="A16" i="24"/>
  <c r="A25" i="23"/>
  <c r="B16" i="25" l="1"/>
  <c r="B28" i="3" s="1"/>
  <c r="B16" i="24"/>
  <c r="B27" i="3" s="1"/>
  <c r="H9" i="25"/>
  <c r="G9" i="25"/>
  <c r="H8" i="25"/>
  <c r="G8" i="25"/>
  <c r="H7" i="25"/>
  <c r="G7" i="25"/>
  <c r="H6" i="25"/>
  <c r="H10" i="25" s="1"/>
  <c r="B14" i="25" s="1"/>
  <c r="G6" i="25"/>
  <c r="G10" i="25" s="1"/>
  <c r="B13" i="25" s="1"/>
  <c r="B15" i="25" s="1"/>
  <c r="H9" i="24"/>
  <c r="G9" i="24"/>
  <c r="H8" i="24"/>
  <c r="G8" i="24"/>
  <c r="H7" i="24"/>
  <c r="G7" i="24"/>
  <c r="H6" i="24"/>
  <c r="H10" i="24" s="1"/>
  <c r="B14" i="24" s="1"/>
  <c r="G6" i="24"/>
  <c r="G10" i="24" s="1"/>
  <c r="B13" i="24" s="1"/>
  <c r="B15" i="24" s="1"/>
  <c r="E18" i="23" l="1"/>
  <c r="F18" i="23" s="1"/>
  <c r="E17" i="23"/>
  <c r="F17" i="23" s="1"/>
  <c r="E16" i="23"/>
  <c r="F16" i="23" s="1"/>
  <c r="E15" i="23"/>
  <c r="F15" i="23" s="1"/>
  <c r="E14" i="23"/>
  <c r="F14" i="23" s="1"/>
  <c r="F19" i="23" l="1"/>
  <c r="B24" i="23" s="1"/>
  <c r="B25" i="23" l="1"/>
  <c r="B25" i="3" s="1"/>
  <c r="A30" i="20"/>
  <c r="A16" i="18"/>
  <c r="A21" i="17"/>
  <c r="A23" i="16"/>
  <c r="A22" i="15"/>
  <c r="A22" i="14"/>
  <c r="H24" i="20"/>
  <c r="G24" i="20"/>
  <c r="H23" i="20"/>
  <c r="G23" i="20"/>
  <c r="G22" i="20"/>
  <c r="H16" i="20"/>
  <c r="G16" i="20"/>
  <c r="H15" i="20"/>
  <c r="G15" i="20"/>
  <c r="H14" i="20"/>
  <c r="G14" i="20"/>
  <c r="H13" i="20"/>
  <c r="G13" i="20"/>
  <c r="F8" i="20"/>
  <c r="G7" i="20"/>
  <c r="F7" i="20"/>
  <c r="G6" i="20"/>
  <c r="F6" i="20"/>
  <c r="G5" i="20"/>
  <c r="G8" i="20" s="1"/>
  <c r="F5" i="20"/>
  <c r="H9" i="18"/>
  <c r="G9" i="18"/>
  <c r="H8" i="18"/>
  <c r="G8" i="18"/>
  <c r="H7" i="18"/>
  <c r="G7" i="18"/>
  <c r="H6" i="18"/>
  <c r="G6" i="18"/>
  <c r="G10" i="18" s="1"/>
  <c r="B13" i="18" s="1"/>
  <c r="D14" i="16"/>
  <c r="D13" i="16"/>
  <c r="H10" i="18" l="1"/>
  <c r="B14" i="18" s="1"/>
  <c r="B15" i="18" s="1"/>
  <c r="B16" i="18" s="1"/>
  <c r="B24" i="3" s="1"/>
  <c r="G17" i="20"/>
  <c r="B27" i="20" s="1"/>
  <c r="G25" i="20"/>
  <c r="H17" i="20"/>
  <c r="H22" i="20"/>
  <c r="H25" i="20" s="1"/>
  <c r="H16" i="16"/>
  <c r="G16" i="16"/>
  <c r="H15" i="16"/>
  <c r="G15" i="16"/>
  <c r="G7" i="16"/>
  <c r="F7" i="16"/>
  <c r="G6" i="16"/>
  <c r="F6" i="16"/>
  <c r="G5" i="16"/>
  <c r="G8" i="16" s="1"/>
  <c r="F5" i="16"/>
  <c r="H16" i="15"/>
  <c r="G16" i="15"/>
  <c r="H15" i="15"/>
  <c r="G15" i="15"/>
  <c r="H14" i="15"/>
  <c r="G14" i="15"/>
  <c r="G7" i="15"/>
  <c r="F7" i="15"/>
  <c r="G6" i="15"/>
  <c r="F6" i="15"/>
  <c r="B24" i="10"/>
  <c r="B25" i="10"/>
  <c r="B26" i="10"/>
  <c r="B27" i="10"/>
  <c r="B28" i="10"/>
  <c r="B23" i="10"/>
  <c r="A14" i="10"/>
  <c r="H16" i="14"/>
  <c r="G16" i="14"/>
  <c r="H15" i="14"/>
  <c r="G15" i="14"/>
  <c r="H14" i="14"/>
  <c r="G14" i="14"/>
  <c r="H13" i="14"/>
  <c r="H17" i="14" s="1"/>
  <c r="G13" i="14"/>
  <c r="G17" i="14" s="1"/>
  <c r="G7" i="14"/>
  <c r="F7" i="14"/>
  <c r="G6" i="14"/>
  <c r="F6" i="14"/>
  <c r="A14" i="3"/>
  <c r="B29" i="10" l="1"/>
  <c r="F8" i="16"/>
  <c r="B28" i="20"/>
  <c r="B29" i="20" s="1"/>
  <c r="B30" i="20" s="1"/>
  <c r="B26" i="3" s="1"/>
  <c r="A19" i="3"/>
  <c r="B14" i="3"/>
  <c r="C11" i="3" l="1"/>
  <c r="K1" i="4"/>
  <c r="H1" i="4"/>
  <c r="M2" i="4" l="1"/>
  <c r="N2" i="4"/>
  <c r="G2" i="4"/>
  <c r="H2" i="4"/>
  <c r="F2" i="4"/>
  <c r="I2" i="4"/>
  <c r="K2" i="4"/>
  <c r="J2" i="4"/>
  <c r="L2" i="4"/>
  <c r="E2" i="4"/>
  <c r="I8" i="4" l="1"/>
  <c r="I3" i="4"/>
  <c r="I5" i="4"/>
  <c r="I7" i="4"/>
  <c r="I4" i="4"/>
  <c r="I6" i="4"/>
  <c r="E3" i="4"/>
  <c r="E7" i="4"/>
  <c r="E8" i="4"/>
  <c r="E6" i="4"/>
  <c r="E5" i="4"/>
  <c r="E4" i="4"/>
  <c r="N7" i="4"/>
  <c r="N4" i="4"/>
  <c r="N6" i="4"/>
  <c r="N5" i="4"/>
  <c r="N3" i="4"/>
  <c r="N8" i="4"/>
  <c r="H4" i="4"/>
  <c r="H7" i="4"/>
  <c r="H6" i="4"/>
  <c r="H5" i="4"/>
  <c r="H8" i="4"/>
  <c r="H3" i="4"/>
  <c r="L4" i="4"/>
  <c r="L3" i="4"/>
  <c r="L5" i="4"/>
  <c r="L6" i="4"/>
  <c r="L8" i="4"/>
  <c r="L7" i="4"/>
  <c r="F5" i="4"/>
  <c r="F3" i="4"/>
  <c r="F6" i="4"/>
  <c r="F7" i="4"/>
  <c r="F4" i="4"/>
  <c r="F8" i="4"/>
  <c r="J6" i="4"/>
  <c r="J3" i="4"/>
  <c r="J8" i="4"/>
  <c r="J5" i="4"/>
  <c r="J7" i="4"/>
  <c r="J4" i="4"/>
  <c r="G7" i="4"/>
  <c r="G3" i="4"/>
  <c r="G4" i="4"/>
  <c r="G5" i="4"/>
  <c r="G6" i="4"/>
  <c r="G8" i="4"/>
  <c r="K6" i="4"/>
  <c r="K3" i="4"/>
  <c r="K8" i="4"/>
  <c r="K5" i="4"/>
  <c r="K7" i="4"/>
  <c r="K4" i="4"/>
  <c r="M7" i="4"/>
  <c r="M3" i="4"/>
  <c r="M4" i="4"/>
  <c r="M6" i="4"/>
  <c r="M8" i="4"/>
  <c r="M5" i="4"/>
  <c r="M9" i="4"/>
  <c r="D3" i="4" l="1"/>
  <c r="K9" i="4"/>
  <c r="J9" i="4"/>
  <c r="L9" i="4"/>
  <c r="D4" i="4"/>
  <c r="C24" i="10" l="1"/>
  <c r="E24" i="10" s="1"/>
  <c r="F24" i="10" s="1"/>
  <c r="C23" i="10"/>
  <c r="D5" i="4"/>
  <c r="D24" i="10" l="1"/>
  <c r="E23" i="10"/>
  <c r="F23" i="10" s="1"/>
  <c r="D23" i="10"/>
  <c r="C25" i="10"/>
  <c r="D25" i="10" s="1"/>
  <c r="D6" i="4"/>
  <c r="E25" i="10" l="1"/>
  <c r="F25" i="10" s="1"/>
  <c r="C26" i="10"/>
  <c r="D26" i="10" s="1"/>
  <c r="E26" i="10"/>
  <c r="D7" i="4"/>
  <c r="C27" i="10" l="1"/>
  <c r="E27" i="10" s="1"/>
  <c r="F27" i="10" s="1"/>
  <c r="F26" i="10"/>
  <c r="G9" i="4"/>
  <c r="F9" i="4"/>
  <c r="I9" i="4"/>
  <c r="H9" i="4"/>
  <c r="N9" i="4"/>
  <c r="D8" i="4"/>
  <c r="E9" i="4"/>
  <c r="D27" i="10" l="1"/>
  <c r="D9" i="4"/>
  <c r="C28" i="10"/>
  <c r="E5" i="15"/>
  <c r="G5" i="15" s="1"/>
  <c r="G8" i="15" s="1"/>
  <c r="D5" i="15"/>
  <c r="F5" i="15" s="1"/>
  <c r="F8" i="15" s="1"/>
  <c r="D5" i="14"/>
  <c r="E13" i="15"/>
  <c r="E28" i="10" l="1"/>
  <c r="D28" i="10"/>
  <c r="D29" i="10" s="1"/>
  <c r="E14" i="16" s="1"/>
  <c r="G14" i="16" s="1"/>
  <c r="C29" i="10"/>
  <c r="E13" i="16" s="1"/>
  <c r="G13" i="16" s="1"/>
  <c r="F5" i="14"/>
  <c r="F8" i="14" s="1"/>
  <c r="B20" i="14" s="1"/>
  <c r="C11" i="17" s="1"/>
  <c r="E11" i="17" s="1"/>
  <c r="E5" i="14"/>
  <c r="G5" i="14" s="1"/>
  <c r="G8" i="14" s="1"/>
  <c r="B21" i="14" s="1"/>
  <c r="D11" i="17" s="1"/>
  <c r="F11" i="17" s="1"/>
  <c r="F13" i="15"/>
  <c r="H13" i="15" s="1"/>
  <c r="H17" i="15" s="1"/>
  <c r="B21" i="15" s="1"/>
  <c r="D12" i="17" s="1"/>
  <c r="F12" i="17" s="1"/>
  <c r="G13" i="15"/>
  <c r="G17" i="15" s="1"/>
  <c r="B20" i="15" s="1"/>
  <c r="C12" i="17" s="1"/>
  <c r="E12" i="17" s="1"/>
  <c r="G17" i="16" l="1"/>
  <c r="B20" i="16" s="1"/>
  <c r="F28" i="10"/>
  <c r="F29" i="10" s="1"/>
  <c r="F14" i="16" s="1"/>
  <c r="H14" i="16" s="1"/>
  <c r="E29" i="10"/>
  <c r="F13" i="16" s="1"/>
  <c r="H13" i="16" s="1"/>
  <c r="F15" i="17"/>
  <c r="B19" i="17" s="1"/>
  <c r="E15" i="17"/>
  <c r="B18" i="17" s="1"/>
  <c r="B22" i="14"/>
  <c r="A24" i="14" s="1"/>
  <c r="B22" i="15"/>
  <c r="A24" i="15" s="1"/>
  <c r="H17" i="16" l="1"/>
  <c r="B21" i="16" s="1"/>
  <c r="B22" i="16" s="1"/>
  <c r="B23" i="16" s="1"/>
  <c r="B20" i="17"/>
  <c r="B21" i="17" s="1"/>
  <c r="B23" i="3" l="1"/>
  <c r="A23" i="17"/>
  <c r="B22" i="3"/>
  <c r="A25" i="16"/>
  <c r="B19" i="3" l="1"/>
  <c r="B18" i="3" s="1"/>
</calcChain>
</file>

<file path=xl/sharedStrings.xml><?xml version="1.0" encoding="utf-8"?>
<sst xmlns="http://schemas.openxmlformats.org/spreadsheetml/2006/main" count="465" uniqueCount="209">
  <si>
    <t>Category</t>
  </si>
  <si>
    <t>Others</t>
  </si>
  <si>
    <t>Direct labor costs</t>
  </si>
  <si>
    <t>Road user costs</t>
  </si>
  <si>
    <t>Safety costs</t>
  </si>
  <si>
    <t>Environmental costs</t>
  </si>
  <si>
    <t>Risk management costs</t>
  </si>
  <si>
    <t>Description</t>
  </si>
  <si>
    <t>N/A</t>
  </si>
  <si>
    <t>Project Title</t>
  </si>
  <si>
    <t>Project Number</t>
  </si>
  <si>
    <t>PI</t>
  </si>
  <si>
    <t>Organization</t>
  </si>
  <si>
    <t>Project Start</t>
  </si>
  <si>
    <t>Project End</t>
  </si>
  <si>
    <t>Advanced Composite Materials in New England’s Transportation Infrastructure: Design, Fabrication, and Installation of ACM Bridge Drain System</t>
  </si>
  <si>
    <t>Dr. Roberto A. Lopez-Anido</t>
  </si>
  <si>
    <t>Advanced Structures and Composites Center, University of Maine</t>
  </si>
  <si>
    <t>Project cost</t>
  </si>
  <si>
    <t>NETC 09-03</t>
  </si>
  <si>
    <t>Analysis Time Frame (years)</t>
  </si>
  <si>
    <t>Costs related to tort liability, fines</t>
  </si>
  <si>
    <t>Costs related to time and money of road users</t>
  </si>
  <si>
    <t>Other costs</t>
  </si>
  <si>
    <t>Phase</t>
  </si>
  <si>
    <t>Project information</t>
  </si>
  <si>
    <t>Input for Analysis</t>
  </si>
  <si>
    <t>Analysis Output</t>
  </si>
  <si>
    <t>Benefit/Cost Ratio</t>
  </si>
  <si>
    <t>Connecticut</t>
  </si>
  <si>
    <t>Maine</t>
  </si>
  <si>
    <t>Massachusetts</t>
  </si>
  <si>
    <t>Rhode Island</t>
  </si>
  <si>
    <t>Vermont</t>
  </si>
  <si>
    <t>Unit</t>
  </si>
  <si>
    <t>State</t>
  </si>
  <si>
    <t>Pc</t>
  </si>
  <si>
    <t>Total</t>
  </si>
  <si>
    <t>pc</t>
  </si>
  <si>
    <t>Replacement or new installation schedule</t>
  </si>
  <si>
    <t>NE Total</t>
  </si>
  <si>
    <t>Narratives of change/benefits</t>
  </si>
  <si>
    <t>Resistant to de-icing salt, lower operation and maintenance costs, including to maintain/repair bridge structures (beam, bearing)</t>
  </si>
  <si>
    <t>Inspection and replacement of damaged parts</t>
  </si>
  <si>
    <t>Labor category description</t>
  </si>
  <si>
    <t>Notes</t>
  </si>
  <si>
    <t>Fatal crashes</t>
  </si>
  <si>
    <t>Type A crashes (Incapacitating)</t>
  </si>
  <si>
    <t>Type B crashes (Non-Incapacitating)</t>
  </si>
  <si>
    <t>Type C crashes (Possible injury)</t>
  </si>
  <si>
    <t>Crash type</t>
  </si>
  <si>
    <t>PDO crashes, including severity unknown (No injury, property damage only)</t>
  </si>
  <si>
    <t>CRASH COST ANALYSIS</t>
  </si>
  <si>
    <t>Number of bridges</t>
  </si>
  <si>
    <t>Lifecycle</t>
  </si>
  <si>
    <t>Safety</t>
  </si>
  <si>
    <t>Construction Costs</t>
  </si>
  <si>
    <t>Operation &amp; Maintenance Costs</t>
  </si>
  <si>
    <t>Lifecycle Costs</t>
  </si>
  <si>
    <t>Road User Costs</t>
  </si>
  <si>
    <t>Direct labor costs related to treating/recycling wastes, hazardous materials</t>
  </si>
  <si>
    <t>Material &amp; Equipment costs</t>
  </si>
  <si>
    <t>Materials &amp; equipment costs related to treating/recycling wastes, hazardous materials</t>
  </si>
  <si>
    <t>Costs related to planning &amp; designing</t>
  </si>
  <si>
    <t>Direct labor costs for construction/installation/establishment</t>
  </si>
  <si>
    <t>Material &amp; equipment costs for construction/installation/establishment</t>
  </si>
  <si>
    <t>Direct labor costs for operation &amp; maintenance</t>
  </si>
  <si>
    <t>Material &amp; equipment costs for operation &amp; maintenance</t>
  </si>
  <si>
    <t>Costs related to change in average lifecycle</t>
  </si>
  <si>
    <t>Costs related to reduction of crash frequency/severity</t>
  </si>
  <si>
    <t>Planning/design</t>
  </si>
  <si>
    <t>Operation/Maintenance</t>
  </si>
  <si>
    <t>X</t>
  </si>
  <si>
    <t>Lifecycle costs</t>
  </si>
  <si>
    <t>Emission &amp; Pollution Costs</t>
  </si>
  <si>
    <t>Engineering &amp; administrative costs</t>
  </si>
  <si>
    <t>Engineering &amp; Admin</t>
  </si>
  <si>
    <t>Operation &amp; Maintenance</t>
  </si>
  <si>
    <t>Risk Management</t>
  </si>
  <si>
    <t>&lt;Add description of item 2&gt;</t>
  </si>
  <si>
    <t>&lt;Add description of item 3&gt;</t>
  </si>
  <si>
    <t>&lt;Add description of item 4&gt;</t>
  </si>
  <si>
    <t>Current year</t>
  </si>
  <si>
    <t>Inflation rate (%)</t>
  </si>
  <si>
    <t>Engineering &amp; admin</t>
  </si>
  <si>
    <t>Construction/Installation</t>
  </si>
  <si>
    <t>Road users</t>
  </si>
  <si>
    <t>ENGINEERING &amp; ADMINISTRATION COST ANALYSIS</t>
  </si>
  <si>
    <t>DIRECT LABOR</t>
  </si>
  <si>
    <t>Loaded
rate</t>
  </si>
  <si>
    <t>&lt;Add description of labor&gt;</t>
  </si>
  <si>
    <t>Sub-Total</t>
  </si>
  <si>
    <t>OTHER ADMINISTRATION RELATED ITEMS OR ACTIVITIES</t>
  </si>
  <si>
    <t>Item description</t>
  </si>
  <si>
    <t>&lt;Add description of item  or activity 1&gt;</t>
  </si>
  <si>
    <t>&lt;Unit&gt;</t>
  </si>
  <si>
    <t>&lt;Add description of item  or activity 2&gt;</t>
  </si>
  <si>
    <t>&lt;Add description of item  or activity 3&gt;</t>
  </si>
  <si>
    <t>&lt;Add description of item  or activity 4&gt;</t>
  </si>
  <si>
    <t>&lt;Add description of labor category 2&gt;</t>
  </si>
  <si>
    <t>&lt;Add description of labor category 3&gt;</t>
  </si>
  <si>
    <t>Engineering &amp; Management</t>
  </si>
  <si>
    <t>Average number of drains per bridge</t>
  </si>
  <si>
    <t>QUANTITY ESTIMATION</t>
  </si>
  <si>
    <t>Number
of drains</t>
  </si>
  <si>
    <t>CONSTRUCTION/INSTALLATION COST ANALYSIS</t>
  </si>
  <si>
    <t>MATERIAL, EQUIPMENT, &amp; ACTIVITIES</t>
  </si>
  <si>
    <t>Installation</t>
  </si>
  <si>
    <t>Drain purchase</t>
  </si>
  <si>
    <t>Set</t>
  </si>
  <si>
    <t>OPERATION AND MAINTENANCE COST ANALYSIS</t>
  </si>
  <si>
    <t>Total Benefits (per year)</t>
  </si>
  <si>
    <t>Location</t>
  </si>
  <si>
    <t>Percentage of structures affected by damaged drains</t>
  </si>
  <si>
    <t>LIFECYCLE COST ANALYSIS</t>
  </si>
  <si>
    <t>LIFECYCLE ASSUMPTION</t>
  </si>
  <si>
    <t>Average lifecycle BEFORE (years)</t>
  </si>
  <si>
    <t>Average lifecycle AFTER (years)</t>
  </si>
  <si>
    <t>LIFECYCLE COSTS</t>
  </si>
  <si>
    <t>&lt;Add description of item 1&gt;</t>
  </si>
  <si>
    <t>Construction &amp; Installation</t>
  </si>
  <si>
    <t>ROAD USER COST ANALYSIS</t>
  </si>
  <si>
    <t>ROAD USER COSTS</t>
  </si>
  <si>
    <t>Sub-category/Item description</t>
  </si>
  <si>
    <t>COMPREHENSIVE CRASH COSTS</t>
  </si>
  <si>
    <t>ESTIMATION OF CRASH REDUCTION</t>
  </si>
  <si>
    <t>Crash
modification factors</t>
  </si>
  <si>
    <t>ENVIRONMENTAL COST ANALYSIS</t>
  </si>
  <si>
    <t>EMMISSION COST</t>
  </si>
  <si>
    <t>RISK MANAGEMENT COSTS</t>
  </si>
  <si>
    <t>RISK MANAGEMENT COST ANALYSIS</t>
  </si>
  <si>
    <t>ALL OTHER COSTS ANALYSIS</t>
  </si>
  <si>
    <t>ALL OTHER COSTS</t>
  </si>
  <si>
    <t>RAW DATA INPUTS</t>
  </si>
  <si>
    <t>ASSSUMPTIONS</t>
  </si>
  <si>
    <t>Number
of hours
(existing)</t>
  </si>
  <si>
    <t>Total cost
(existing)</t>
  </si>
  <si>
    <t>Unit price (existing)</t>
  </si>
  <si>
    <t>Quantity
(existing)</t>
  </si>
  <si>
    <t>Total Engineering &amp; Admin Cost (existing)</t>
  </si>
  <si>
    <t>On average, 1 drain needs 1 hour of labor for engineering/admin (existing)</t>
  </si>
  <si>
    <t>Number drain locations need structural repair (existing)</t>
  </si>
  <si>
    <t>Total Construction &amp; Installation Cost (existing)</t>
  </si>
  <si>
    <t>Total Operation &amp; Maintenance Cost (existing)</t>
  </si>
  <si>
    <t>Total Upfront Investment per year (existing)</t>
  </si>
  <si>
    <t>Total Road User Costs (existing)</t>
  </si>
  <si>
    <t>Total Environmental Cost (existing)</t>
  </si>
  <si>
    <t>Total Risk Management Costs (existing)</t>
  </si>
  <si>
    <t>Total all other costs (existing)</t>
  </si>
  <si>
    <t>On average, new drains need 60% of labor for engineering/admin (alternative)</t>
  </si>
  <si>
    <t>Number drains
need inspection &amp; repair (alternative)</t>
  </si>
  <si>
    <t>Number drain locations
need structural repair (alternative)</t>
  </si>
  <si>
    <t>Number
of hours (alternative)</t>
  </si>
  <si>
    <t>Total
cost (alternative)</t>
  </si>
  <si>
    <t>Unit price (alternative)</t>
  </si>
  <si>
    <t>Quantity (alternative)</t>
  </si>
  <si>
    <t>Total Engineering &amp; Admin Cost (alternative)</t>
  </si>
  <si>
    <t>Total Construction &amp; Installation Cost (alternative)</t>
  </si>
  <si>
    <t>Total Operation &amp; Maintenance Cost (alternative)</t>
  </si>
  <si>
    <t>Total Upfront Investment per year (alternative)</t>
  </si>
  <si>
    <t>Total Road User Costs (alternative)</t>
  </si>
  <si>
    <t>Total Environmental Cost (alternative)</t>
  </si>
  <si>
    <t>Total Risk Management Costs (alternative)</t>
  </si>
  <si>
    <t>Total all other costs (alternative)</t>
  </si>
  <si>
    <t>Total
crashes per year
(existing)</t>
  </si>
  <si>
    <t>Total/Expected crashes per year
(alternative)</t>
  </si>
  <si>
    <t>Crash reduction per year</t>
  </si>
  <si>
    <t>Crash cost saved per year</t>
  </si>
  <si>
    <t>Total safety benefits (per year)</t>
  </si>
  <si>
    <t>Sub-Category/Item</t>
  </si>
  <si>
    <t>Data sources</t>
  </si>
  <si>
    <t>light weight, easier installation, lower labor costs</t>
  </si>
  <si>
    <t>No change</t>
  </si>
  <si>
    <t>Installation/Construction</t>
  </si>
  <si>
    <t>Annual Rate of Replacement</t>
  </si>
  <si>
    <t>Note</t>
  </si>
  <si>
    <t>National Bridge Inventory (NBI) includes state and municipally owned bridges over 20-ft (https://www.fhwa.dot.gov/bridge/nbi/ascii2017.cfm)</t>
  </si>
  <si>
    <t>This total benefit is excluded from the final calculation because it's already included in the lifecycle benefits</t>
  </si>
  <si>
    <t>Environmental</t>
  </si>
  <si>
    <t>Higher initial purchase price; light weight, easier installation, lower material &amp; equipment costs</t>
  </si>
  <si>
    <t>Costs related to pollution caused by emission, wastes, hazardous materials</t>
  </si>
  <si>
    <t>Standardized specifications, lower engineering, planning and paperwork costs</t>
  </si>
  <si>
    <t>New Hampshire</t>
  </si>
  <si>
    <t>Steel drain system requires 16 hrs. of labor to install (existing)</t>
  </si>
  <si>
    <t>New drain system requires 12 hrs. of labor to install (existing)</t>
  </si>
  <si>
    <t>hr.</t>
  </si>
  <si>
    <t>Upfront Investment (existing)</t>
  </si>
  <si>
    <t>Upfront Investment (alternative)</t>
  </si>
  <si>
    <t>Average Upfront Investment per life year (existing)</t>
  </si>
  <si>
    <t>Average Upfront Investment per life year (alternative)</t>
  </si>
  <si>
    <t>One time cost of Eng. &amp; admin spreading out throughout the lifecycle, exclude Eng. &amp; admin benefits to avoid double counting</t>
  </si>
  <si>
    <t>One time cost of Eng. &amp; admin spreading out throughout the lifecycle, exclude const&amp;inst benefits to avoid double counting</t>
  </si>
  <si>
    <t>Comprehensive crash costs by severity in 2016 dollars from FHWA's Crash Costs for Highway Safety Analysis (FHWA-SA-17-071). Refer to this document for more information on costs and adjustment. Use state numbers if available.</t>
  </si>
  <si>
    <t>Comprehensive
crash costs</t>
  </si>
  <si>
    <t>Total number of replacements per year</t>
  </si>
  <si>
    <t>Inspection and repair of other related parts (beam, bearing)</t>
  </si>
  <si>
    <t>ACM drains have longer lifecycle</t>
  </si>
  <si>
    <t>Average number of scuppers per bridge ranges between 4 - 8; assume 6, based on inputs from VHB's structure/bridge team</t>
  </si>
  <si>
    <t>Approximately, 10% of bridges are structurally affected by drain leaks and damages, based on information from MassDOT's bridge data and inputs from VHB's structure/bridge team</t>
  </si>
  <si>
    <t>Based on inputs from VHB's structure/bridge team</t>
  </si>
  <si>
    <t>1) NETC 09-03 project report (Lopez-Anido &amp; Goslin)
2) Inputs from VHB's structure/bridge team</t>
  </si>
  <si>
    <t>1) NETC 09-03 project report (Lopez-Anido &amp; Goslin)
2) NETC 01-01 project report (Brena et al.)
3) Inputs from VHB's structure/bridge team</t>
  </si>
  <si>
    <t>1) NETC 09-03 project report (Lopez-Anido &amp; Goslin)
2) CTDOT Master Bid Item List for 2018 (https://www.ct.gov/dot/cwp/view.asp?a=3198&amp;q=459664)
3) Inputs from VHB's structure/bridge team</t>
  </si>
  <si>
    <t>Assume average loaded rate for Eng./admin labor categories, based on inputs VHB's structure/bridge team</t>
  </si>
  <si>
    <t>Assume average loaded rate for installation labor categories, based on inputs from VHB's structure/bridge team</t>
  </si>
  <si>
    <t>Unit cost from CTDOT Master Bid Item List for 2018 and inputs from VHB's structure/bridge team</t>
  </si>
  <si>
    <t>Assume average cost of minor drain repairs, based on inputs VHB's structure/bridge team</t>
  </si>
  <si>
    <t>Assume average cost of structure-related repairs, based on inputs VHB's structure/bridge team</t>
  </si>
  <si>
    <t>based on inputs VHB's structure/bridge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</si>
</sst>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_);_(&quot;$&quot;* \(#,##0.0\);_(&quot;$&quot;* &quot;-&quot;??_);_(@_)"/>
    <numFmt numFmtId="168" formatCode="_(* #,##0.000_);_(* \(#,##0.000\);_(* &quot;-&quot;??_);_(@_)"/>
    <numFmt numFmtId="169" formatCode="_(* #,##0.000_);_(* \(#,##0.000\);_(* &quot;-&quot;?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2" borderId="0" xfId="1" applyNumberFormat="1" applyFont="1" applyFill="1"/>
    <xf numFmtId="0" fontId="0" fillId="3" borderId="0" xfId="0" applyFill="1"/>
    <xf numFmtId="0" fontId="0" fillId="4" borderId="0" xfId="0" applyFill="1"/>
    <xf numFmtId="0" fontId="0" fillId="2" borderId="0" xfId="0" applyFill="1"/>
    <xf numFmtId="0" fontId="0" fillId="5" borderId="0" xfId="0" applyFill="1"/>
    <xf numFmtId="0" fontId="3" fillId="6" borderId="0" xfId="0" applyFont="1" applyFill="1"/>
    <xf numFmtId="0" fontId="0" fillId="6" borderId="0" xfId="0" applyFill="1"/>
    <xf numFmtId="0" fontId="4" fillId="6" borderId="0" xfId="0" applyFont="1" applyFill="1"/>
    <xf numFmtId="0" fontId="0" fillId="0" borderId="0" xfId="0" applyAlignment="1">
      <alignment horizontal="center" vertical="center"/>
    </xf>
    <xf numFmtId="0" fontId="4" fillId="0" borderId="0" xfId="0" applyFont="1" applyFill="1"/>
    <xf numFmtId="0" fontId="5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0" fillId="0" borderId="0" xfId="1" applyNumberFormat="1" applyFont="1"/>
    <xf numFmtId="165" fontId="0" fillId="0" borderId="0" xfId="0" applyNumberFormat="1"/>
    <xf numFmtId="0" fontId="0" fillId="0" borderId="0" xfId="0" applyAlignment="1">
      <alignment wrapText="1"/>
    </xf>
    <xf numFmtId="9" fontId="0" fillId="2" borderId="0" xfId="2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8" borderId="0" xfId="0" applyFill="1"/>
    <xf numFmtId="0" fontId="0" fillId="7" borderId="0" xfId="0" applyFill="1"/>
    <xf numFmtId="164" fontId="0" fillId="0" borderId="0" xfId="0" applyNumberFormat="1" applyFill="1"/>
    <xf numFmtId="0" fontId="1" fillId="6" borderId="0" xfId="0" applyFont="1" applyFill="1"/>
    <xf numFmtId="166" fontId="0" fillId="2" borderId="0" xfId="3" applyNumberFormat="1" applyFont="1" applyFill="1"/>
    <xf numFmtId="166" fontId="0" fillId="11" borderId="0" xfId="3" applyNumberFormat="1" applyFont="1" applyFill="1"/>
    <xf numFmtId="0" fontId="0" fillId="11" borderId="0" xfId="0" applyFill="1"/>
    <xf numFmtId="0" fontId="0" fillId="0" borderId="0" xfId="0" applyFill="1" applyAlignment="1">
      <alignment horizontal="left" indent="4"/>
    </xf>
    <xf numFmtId="164" fontId="0" fillId="0" borderId="0" xfId="1" applyNumberFormat="1" applyFont="1" applyFill="1"/>
    <xf numFmtId="1" fontId="0" fillId="0" borderId="0" xfId="0" applyNumberFormat="1"/>
    <xf numFmtId="168" fontId="0" fillId="10" borderId="0" xfId="3" applyNumberFormat="1" applyFont="1" applyFill="1"/>
    <xf numFmtId="165" fontId="0" fillId="0" borderId="0" xfId="0" applyNumberFormat="1" applyFill="1"/>
    <xf numFmtId="166" fontId="0" fillId="0" borderId="0" xfId="0" applyNumberFormat="1" applyFill="1"/>
    <xf numFmtId="17" fontId="0" fillId="11" borderId="0" xfId="0" applyNumberFormat="1" applyFill="1"/>
    <xf numFmtId="164" fontId="0" fillId="11" borderId="0" xfId="1" applyNumberFormat="1" applyFont="1" applyFill="1"/>
    <xf numFmtId="9" fontId="0" fillId="11" borderId="0" xfId="2" applyFont="1" applyFill="1"/>
    <xf numFmtId="0" fontId="1" fillId="12" borderId="0" xfId="0" applyFont="1" applyFill="1"/>
    <xf numFmtId="164" fontId="0" fillId="12" borderId="0" xfId="0" applyNumberFormat="1" applyFill="1"/>
    <xf numFmtId="164" fontId="0" fillId="12" borderId="0" xfId="1" applyNumberFormat="1" applyFont="1" applyFill="1"/>
    <xf numFmtId="166" fontId="0" fillId="0" borderId="0" xfId="3" applyNumberFormat="1" applyFont="1"/>
    <xf numFmtId="44" fontId="0" fillId="11" borderId="0" xfId="1" applyFont="1" applyFill="1"/>
    <xf numFmtId="166" fontId="0" fillId="2" borderId="0" xfId="0" applyNumberFormat="1" applyFill="1"/>
    <xf numFmtId="167" fontId="0" fillId="11" borderId="0" xfId="1" applyNumberFormat="1" applyFont="1" applyFill="1"/>
    <xf numFmtId="2" fontId="0" fillId="11" borderId="0" xfId="0" applyNumberFormat="1" applyFill="1"/>
    <xf numFmtId="168" fontId="0" fillId="11" borderId="0" xfId="3" applyNumberFormat="1" applyFont="1" applyFill="1"/>
    <xf numFmtId="169" fontId="0" fillId="2" borderId="0" xfId="0" applyNumberFormat="1" applyFill="1"/>
    <xf numFmtId="169" fontId="0" fillId="0" borderId="0" xfId="0" applyNumberFormat="1" applyFill="1"/>
    <xf numFmtId="43" fontId="0" fillId="11" borderId="0" xfId="3" applyNumberFormat="1" applyFont="1" applyFill="1"/>
    <xf numFmtId="0" fontId="1" fillId="0" borderId="0" xfId="0" applyFont="1" applyAlignment="1">
      <alignment horizontal="center" vertical="center" wrapText="1"/>
    </xf>
    <xf numFmtId="165" fontId="0" fillId="11" borderId="0" xfId="2" applyNumberFormat="1" applyFont="1" applyFill="1"/>
    <xf numFmtId="1" fontId="0" fillId="10" borderId="0" xfId="0" applyNumberFormat="1" applyFill="1"/>
    <xf numFmtId="166" fontId="0" fillId="10" borderId="0" xfId="3" applyNumberFormat="1" applyFont="1" applyFill="1" applyAlignment="1">
      <alignment horizontal="center" vertical="center"/>
    </xf>
    <xf numFmtId="166" fontId="0" fillId="10" borderId="0" xfId="3" applyNumberFormat="1" applyFont="1" applyFill="1"/>
    <xf numFmtId="166" fontId="1" fillId="10" borderId="0" xfId="3" applyNumberFormat="1" applyFont="1" applyFill="1" applyAlignment="1">
      <alignment horizontal="center" vertical="center"/>
    </xf>
    <xf numFmtId="166" fontId="1" fillId="2" borderId="0" xfId="3" applyNumberFormat="1" applyFont="1" applyFill="1"/>
    <xf numFmtId="1" fontId="1" fillId="2" borderId="0" xfId="0" applyNumberFormat="1" applyFont="1" applyFill="1"/>
    <xf numFmtId="166" fontId="1" fillId="0" borderId="0" xfId="0" applyNumberFormat="1" applyFont="1"/>
    <xf numFmtId="0" fontId="6" fillId="0" borderId="0" xfId="0" applyFont="1"/>
    <xf numFmtId="0" fontId="1" fillId="9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4" xfId="0" applyBorder="1"/>
    <xf numFmtId="0" fontId="0" fillId="2" borderId="4" xfId="0" applyFill="1" applyBorder="1" applyAlignment="1">
      <alignment horizontal="left"/>
    </xf>
    <xf numFmtId="9" fontId="0" fillId="2" borderId="4" xfId="2" applyFont="1" applyFill="1" applyBorder="1" applyAlignment="1">
      <alignment horizontal="left"/>
    </xf>
    <xf numFmtId="0" fontId="0" fillId="2" borderId="4" xfId="2" applyNumberFormat="1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11" borderId="0" xfId="0" applyFill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8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115" zoomScaleNormal="115" workbookViewId="0">
      <selection activeCell="D10" sqref="D10"/>
    </sheetView>
  </sheetViews>
  <sheetFormatPr defaultRowHeight="15" x14ac:dyDescent="0.25"/>
  <cols>
    <col min="1" max="1" width="28.5703125" customWidth="1"/>
    <col min="2" max="2" width="13.28515625" bestFit="1" customWidth="1"/>
  </cols>
  <sheetData>
    <row r="1" spans="1:15" ht="21" x14ac:dyDescent="0.35">
      <c r="A1" s="8" t="s">
        <v>25</v>
      </c>
    </row>
    <row r="2" spans="1:15" x14ac:dyDescent="0.25">
      <c r="A2" s="5" t="s">
        <v>9</v>
      </c>
      <c r="B2" s="86" t="s">
        <v>15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x14ac:dyDescent="0.25">
      <c r="A3" s="4" t="s">
        <v>10</v>
      </c>
      <c r="B3" s="86" t="s">
        <v>19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x14ac:dyDescent="0.25">
      <c r="A4" s="5" t="s">
        <v>11</v>
      </c>
      <c r="B4" s="86" t="s">
        <v>16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x14ac:dyDescent="0.25">
      <c r="A5" s="4" t="s">
        <v>12</v>
      </c>
      <c r="B5" s="86" t="s">
        <v>17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5" x14ac:dyDescent="0.25">
      <c r="A6" s="5" t="s">
        <v>13</v>
      </c>
      <c r="B6" s="36">
        <v>41525</v>
      </c>
    </row>
    <row r="7" spans="1:15" x14ac:dyDescent="0.25">
      <c r="A7" s="4" t="s">
        <v>14</v>
      </c>
      <c r="B7" s="36">
        <v>42590</v>
      </c>
    </row>
    <row r="8" spans="1:15" x14ac:dyDescent="0.25">
      <c r="A8" s="5" t="s">
        <v>18</v>
      </c>
      <c r="B8" s="37">
        <v>165000</v>
      </c>
    </row>
    <row r="10" spans="1:15" ht="18.75" x14ac:dyDescent="0.3">
      <c r="A10" s="10" t="s">
        <v>26</v>
      </c>
    </row>
    <row r="11" spans="1:15" x14ac:dyDescent="0.25">
      <c r="A11" s="4" t="s">
        <v>20</v>
      </c>
      <c r="B11" s="29">
        <v>5</v>
      </c>
      <c r="C11" t="str">
        <f>IF(B11&lt;1,"Please enter a valid analysis time frame (in year)","")</f>
        <v/>
      </c>
    </row>
    <row r="12" spans="1:15" x14ac:dyDescent="0.25">
      <c r="A12" s="5" t="s">
        <v>83</v>
      </c>
      <c r="B12" s="38">
        <v>0.02</v>
      </c>
    </row>
    <row r="13" spans="1:15" x14ac:dyDescent="0.25">
      <c r="A13" s="4" t="s">
        <v>82</v>
      </c>
      <c r="B13" s="29">
        <v>2018</v>
      </c>
    </row>
    <row r="14" spans="1:15" x14ac:dyDescent="0.25">
      <c r="A14" t="str">
        <f>"Total cost (in "&amp;B13 &amp;" dollars)"</f>
        <v>Total cost (in 2018 dollars)</v>
      </c>
      <c r="B14" s="25">
        <f>B8*(1+B12)^(B13-YEAR(B7))</f>
        <v>171666</v>
      </c>
    </row>
    <row r="17" spans="1:2" ht="18.75" x14ac:dyDescent="0.3">
      <c r="A17" s="10" t="s">
        <v>27</v>
      </c>
    </row>
    <row r="18" spans="1:2" x14ac:dyDescent="0.25">
      <c r="A18" t="s">
        <v>28</v>
      </c>
      <c r="B18" s="39" t="str">
        <f>ROUND(B19/B14,0) &amp; ":1"</f>
        <v>125:1</v>
      </c>
    </row>
    <row r="19" spans="1:2" x14ac:dyDescent="0.25">
      <c r="A19" t="str">
        <f>"Total benefits (in "&amp;B13 &amp;" dollars)"</f>
        <v>Total benefits (in 2018 dollars)</v>
      </c>
      <c r="B19" s="40">
        <f>SUM(B20:B27)</f>
        <v>21410694.369999997</v>
      </c>
    </row>
    <row r="20" spans="1:2" s="21" customFormat="1" x14ac:dyDescent="0.25">
      <c r="A20" s="30" t="s">
        <v>84</v>
      </c>
      <c r="B20" s="25">
        <v>0</v>
      </c>
    </row>
    <row r="21" spans="1:2" s="21" customFormat="1" x14ac:dyDescent="0.25">
      <c r="A21" s="30" t="s">
        <v>85</v>
      </c>
      <c r="B21" s="25">
        <v>0</v>
      </c>
    </row>
    <row r="22" spans="1:2" s="21" customFormat="1" x14ac:dyDescent="0.25">
      <c r="A22" s="30" t="s">
        <v>77</v>
      </c>
      <c r="B22" s="31">
        <f>'3.Ops&amp;Maint'!$B$23</f>
        <v>17509591</v>
      </c>
    </row>
    <row r="23" spans="1:2" s="21" customFormat="1" x14ac:dyDescent="0.25">
      <c r="A23" s="30" t="s">
        <v>54</v>
      </c>
      <c r="B23" s="31">
        <f>'4.Lifecycle'!$B$21</f>
        <v>3901103.3699999992</v>
      </c>
    </row>
    <row r="24" spans="1:2" s="21" customFormat="1" x14ac:dyDescent="0.25">
      <c r="A24" s="30" t="s">
        <v>86</v>
      </c>
      <c r="B24" s="31">
        <f>'5.Road_users'!$B$16</f>
        <v>0</v>
      </c>
    </row>
    <row r="25" spans="1:2" s="21" customFormat="1" x14ac:dyDescent="0.25">
      <c r="A25" s="30" t="s">
        <v>55</v>
      </c>
      <c r="B25" s="31">
        <f>'6.Safety'!$B$25</f>
        <v>0</v>
      </c>
    </row>
    <row r="26" spans="1:2" s="21" customFormat="1" x14ac:dyDescent="0.25">
      <c r="A26" s="30" t="s">
        <v>178</v>
      </c>
      <c r="B26" s="31">
        <f>'7.Environment'!$B$30</f>
        <v>0</v>
      </c>
    </row>
    <row r="27" spans="1:2" s="21" customFormat="1" x14ac:dyDescent="0.25">
      <c r="A27" s="30" t="s">
        <v>78</v>
      </c>
      <c r="B27" s="31">
        <f>'8.Risk_Mgmt'!$B$16</f>
        <v>0</v>
      </c>
    </row>
    <row r="28" spans="1:2" s="21" customFormat="1" x14ac:dyDescent="0.25">
      <c r="A28" s="30" t="s">
        <v>1</v>
      </c>
      <c r="B28" s="31">
        <f>'9.Others'!$B$16</f>
        <v>0</v>
      </c>
    </row>
    <row r="29" spans="1:2" s="21" customFormat="1" x14ac:dyDescent="0.25"/>
  </sheetData>
  <mergeCells count="4">
    <mergeCell ref="B2:O2"/>
    <mergeCell ref="B3:O3"/>
    <mergeCell ref="B4:O4"/>
    <mergeCell ref="B5:O5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27"/>
  <sheetViews>
    <sheetView zoomScaleNormal="100" workbookViewId="0">
      <selection activeCell="C5" sqref="C5"/>
    </sheetView>
  </sheetViews>
  <sheetFormatPr defaultRowHeight="15" x14ac:dyDescent="0.25"/>
  <cols>
    <col min="1" max="1" width="69.7109375" bestFit="1" customWidth="1"/>
    <col min="2" max="2" width="15.42578125" customWidth="1"/>
    <col min="3" max="3" width="14.7109375" customWidth="1"/>
    <col min="4" max="5" width="14.140625" customWidth="1"/>
    <col min="6" max="6" width="16.42578125" customWidth="1"/>
    <col min="7" max="7" width="11.5703125" customWidth="1"/>
  </cols>
  <sheetData>
    <row r="1" spans="1:7" ht="18.75" x14ac:dyDescent="0.3">
      <c r="A1" s="10" t="s">
        <v>52</v>
      </c>
      <c r="B1" s="9"/>
      <c r="C1" s="9"/>
      <c r="D1" s="9"/>
      <c r="E1" s="9"/>
    </row>
    <row r="2" spans="1:7" ht="18.75" x14ac:dyDescent="0.3">
      <c r="A2" s="12"/>
      <c r="B2" s="21"/>
      <c r="C2" s="21"/>
      <c r="D2" s="21"/>
      <c r="E2" s="21"/>
    </row>
    <row r="3" spans="1:7" ht="18.75" x14ac:dyDescent="0.3">
      <c r="A3" s="10" t="s">
        <v>124</v>
      </c>
      <c r="B3" s="9"/>
      <c r="C3" s="9"/>
      <c r="D3" s="9"/>
      <c r="E3" s="9"/>
    </row>
    <row r="4" spans="1:7" ht="30" x14ac:dyDescent="0.25">
      <c r="A4" s="84" t="s">
        <v>50</v>
      </c>
      <c r="B4" s="51" t="s">
        <v>193</v>
      </c>
      <c r="C4" s="84" t="s">
        <v>175</v>
      </c>
    </row>
    <row r="5" spans="1:7" x14ac:dyDescent="0.25">
      <c r="A5" t="s">
        <v>46</v>
      </c>
      <c r="B5" s="37">
        <v>11295400</v>
      </c>
      <c r="C5" t="s">
        <v>192</v>
      </c>
    </row>
    <row r="6" spans="1:7" x14ac:dyDescent="0.25">
      <c r="A6" t="s">
        <v>47</v>
      </c>
      <c r="B6" s="37">
        <v>655000</v>
      </c>
    </row>
    <row r="7" spans="1:7" x14ac:dyDescent="0.25">
      <c r="A7" t="s">
        <v>48</v>
      </c>
      <c r="B7" s="37">
        <v>198500</v>
      </c>
    </row>
    <row r="8" spans="1:7" x14ac:dyDescent="0.25">
      <c r="A8" t="s">
        <v>49</v>
      </c>
      <c r="B8" s="37">
        <v>125600</v>
      </c>
    </row>
    <row r="9" spans="1:7" x14ac:dyDescent="0.25">
      <c r="A9" t="s">
        <v>51</v>
      </c>
      <c r="B9" s="37">
        <v>11900</v>
      </c>
    </row>
    <row r="11" spans="1:7" x14ac:dyDescent="0.25">
      <c r="C11" s="17"/>
    </row>
    <row r="12" spans="1:7" ht="18.75" x14ac:dyDescent="0.3">
      <c r="A12" s="10" t="s">
        <v>125</v>
      </c>
      <c r="B12" s="10"/>
      <c r="C12" s="9"/>
      <c r="D12" s="9"/>
      <c r="E12" s="9"/>
      <c r="F12" s="9"/>
    </row>
    <row r="13" spans="1:7" ht="60" x14ac:dyDescent="0.25">
      <c r="A13" s="84" t="s">
        <v>50</v>
      </c>
      <c r="B13" s="51" t="s">
        <v>126</v>
      </c>
      <c r="C13" s="51" t="s">
        <v>164</v>
      </c>
      <c r="D13" s="51" t="s">
        <v>165</v>
      </c>
      <c r="E13" s="51" t="s">
        <v>166</v>
      </c>
      <c r="F13" s="51" t="s">
        <v>167</v>
      </c>
      <c r="G13" s="51" t="s">
        <v>45</v>
      </c>
    </row>
    <row r="14" spans="1:7" x14ac:dyDescent="0.25">
      <c r="A14" t="s">
        <v>46</v>
      </c>
      <c r="B14" s="46">
        <v>1</v>
      </c>
      <c r="C14" s="47">
        <v>0</v>
      </c>
      <c r="D14" s="33">
        <v>0</v>
      </c>
      <c r="E14" s="48">
        <f>C14-D14</f>
        <v>0</v>
      </c>
      <c r="F14" s="48">
        <f>E14*B5</f>
        <v>0</v>
      </c>
    </row>
    <row r="15" spans="1:7" x14ac:dyDescent="0.25">
      <c r="A15" t="s">
        <v>47</v>
      </c>
      <c r="B15" s="46">
        <v>1</v>
      </c>
      <c r="C15" s="47">
        <v>0</v>
      </c>
      <c r="D15" s="33">
        <v>0</v>
      </c>
      <c r="E15" s="48">
        <f t="shared" ref="E15:E18" si="0">C15-D15</f>
        <v>0</v>
      </c>
      <c r="F15" s="48">
        <f t="shared" ref="F15:F18" si="1">E15*B6</f>
        <v>0</v>
      </c>
    </row>
    <row r="16" spans="1:7" x14ac:dyDescent="0.25">
      <c r="A16" t="s">
        <v>48</v>
      </c>
      <c r="B16" s="46">
        <v>1</v>
      </c>
      <c r="C16" s="47">
        <v>0</v>
      </c>
      <c r="D16" s="33">
        <v>0</v>
      </c>
      <c r="E16" s="48">
        <f t="shared" si="0"/>
        <v>0</v>
      </c>
      <c r="F16" s="48">
        <f t="shared" si="1"/>
        <v>0</v>
      </c>
    </row>
    <row r="17" spans="1:6" x14ac:dyDescent="0.25">
      <c r="A17" t="s">
        <v>49</v>
      </c>
      <c r="B17" s="46">
        <v>1</v>
      </c>
      <c r="C17" s="47">
        <v>0</v>
      </c>
      <c r="D17" s="33">
        <v>0</v>
      </c>
      <c r="E17" s="48">
        <f t="shared" si="0"/>
        <v>0</v>
      </c>
      <c r="F17" s="48">
        <f t="shared" si="1"/>
        <v>0</v>
      </c>
    </row>
    <row r="18" spans="1:6" x14ac:dyDescent="0.25">
      <c r="A18" t="s">
        <v>51</v>
      </c>
      <c r="B18" s="46">
        <v>1</v>
      </c>
      <c r="C18" s="47">
        <v>0</v>
      </c>
      <c r="D18" s="33">
        <v>0</v>
      </c>
      <c r="E18" s="48">
        <f t="shared" si="0"/>
        <v>0</v>
      </c>
      <c r="F18" s="48">
        <f t="shared" si="1"/>
        <v>0</v>
      </c>
    </row>
    <row r="19" spans="1:6" x14ac:dyDescent="0.25">
      <c r="A19" s="6" t="s">
        <v>91</v>
      </c>
      <c r="C19" s="17"/>
      <c r="E19" s="49"/>
      <c r="F19" s="48">
        <f>SUM(F14:F18)</f>
        <v>0</v>
      </c>
    </row>
    <row r="20" spans="1:6" s="21" customFormat="1" x14ac:dyDescent="0.25">
      <c r="C20" s="34"/>
    </row>
    <row r="21" spans="1:6" s="21" customFormat="1" x14ac:dyDescent="0.25">
      <c r="C21" s="34"/>
    </row>
    <row r="23" spans="1:6" x14ac:dyDescent="0.25">
      <c r="B23" s="16"/>
    </row>
    <row r="24" spans="1:6" x14ac:dyDescent="0.25">
      <c r="A24" t="s">
        <v>168</v>
      </c>
      <c r="B24" s="41">
        <f>F19</f>
        <v>0</v>
      </c>
    </row>
    <row r="25" spans="1:6" x14ac:dyDescent="0.25">
      <c r="A25" t="str">
        <f>"Total safety benefits " &amp; "(for "&amp;General!$B$11&amp;" years)"</f>
        <v>Total safety benefits (for 5 years)</v>
      </c>
      <c r="B25" s="41">
        <f>B24*General!$B$11</f>
        <v>0</v>
      </c>
    </row>
    <row r="27" spans="1:6" x14ac:dyDescent="0.25">
      <c r="A27" s="60" t="str">
        <f>IF(B25=0,"This sheet is not applicable to " &amp; General!$B$3 &amp; " Project","")</f>
        <v>This sheet is not applicable to NETC 09-03 Project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32"/>
  <sheetViews>
    <sheetView workbookViewId="0">
      <selection activeCell="B3" sqref="B3"/>
    </sheetView>
  </sheetViews>
  <sheetFormatPr defaultRowHeight="15" x14ac:dyDescent="0.25"/>
  <cols>
    <col min="1" max="1" width="42" customWidth="1"/>
    <col min="2" max="2" width="12" customWidth="1"/>
    <col min="3" max="3" width="9.140625" customWidth="1"/>
    <col min="4" max="4" width="13.140625" customWidth="1"/>
    <col min="5" max="5" width="12.140625" customWidth="1"/>
    <col min="6" max="6" width="12.42578125" customWidth="1"/>
    <col min="7" max="7" width="12.85546875" customWidth="1"/>
    <col min="8" max="8" width="12.7109375" customWidth="1"/>
    <col min="9" max="9" width="16.42578125" customWidth="1"/>
  </cols>
  <sheetData>
    <row r="1" spans="1:9" ht="18.75" x14ac:dyDescent="0.3">
      <c r="A1" s="10" t="s">
        <v>127</v>
      </c>
      <c r="B1" s="9"/>
      <c r="C1" s="9"/>
      <c r="D1" s="9"/>
    </row>
    <row r="3" spans="1:9" x14ac:dyDescent="0.25">
      <c r="A3" s="26" t="s">
        <v>88</v>
      </c>
      <c r="B3" s="9"/>
      <c r="C3" s="9"/>
      <c r="D3" s="9"/>
    </row>
    <row r="4" spans="1:9" ht="45" x14ac:dyDescent="0.25">
      <c r="A4" s="84" t="s">
        <v>44</v>
      </c>
      <c r="B4" s="84" t="s">
        <v>34</v>
      </c>
      <c r="C4" s="51" t="s">
        <v>89</v>
      </c>
      <c r="D4" s="51" t="s">
        <v>135</v>
      </c>
      <c r="E4" s="51" t="s">
        <v>152</v>
      </c>
      <c r="F4" s="51" t="s">
        <v>136</v>
      </c>
      <c r="G4" s="51" t="s">
        <v>153</v>
      </c>
      <c r="H4" s="84" t="s">
        <v>45</v>
      </c>
    </row>
    <row r="5" spans="1:9" x14ac:dyDescent="0.25">
      <c r="A5" s="23" t="s">
        <v>90</v>
      </c>
      <c r="B5" s="85" t="s">
        <v>185</v>
      </c>
      <c r="C5" s="43">
        <v>0</v>
      </c>
      <c r="D5" s="28">
        <v>0</v>
      </c>
      <c r="E5" s="28">
        <v>0</v>
      </c>
      <c r="F5" s="27">
        <f>D5*$C5</f>
        <v>0</v>
      </c>
      <c r="G5" s="27">
        <f>E5*$C5</f>
        <v>0</v>
      </c>
    </row>
    <row r="6" spans="1:9" x14ac:dyDescent="0.25">
      <c r="A6" s="23" t="s">
        <v>90</v>
      </c>
      <c r="B6" s="85" t="s">
        <v>185</v>
      </c>
      <c r="C6" s="43">
        <v>0</v>
      </c>
      <c r="D6" s="28">
        <v>0</v>
      </c>
      <c r="E6" s="28">
        <v>0</v>
      </c>
      <c r="F6" s="27">
        <f t="shared" ref="F6:G7" si="0">D6*$C6</f>
        <v>0</v>
      </c>
      <c r="G6" s="27">
        <f t="shared" si="0"/>
        <v>0</v>
      </c>
    </row>
    <row r="7" spans="1:9" x14ac:dyDescent="0.25">
      <c r="A7" s="23" t="s">
        <v>90</v>
      </c>
      <c r="B7" s="85" t="s">
        <v>185</v>
      </c>
      <c r="C7" s="43">
        <v>0</v>
      </c>
      <c r="D7" s="28">
        <v>0</v>
      </c>
      <c r="E7" s="28">
        <v>0</v>
      </c>
      <c r="F7" s="27">
        <f t="shared" si="0"/>
        <v>0</v>
      </c>
      <c r="G7" s="27">
        <f t="shared" si="0"/>
        <v>0</v>
      </c>
    </row>
    <row r="8" spans="1:9" x14ac:dyDescent="0.25">
      <c r="A8" s="6" t="s">
        <v>37</v>
      </c>
      <c r="F8" s="44">
        <f>SUM(F5:F7)</f>
        <v>0</v>
      </c>
      <c r="G8" s="44">
        <f>SUM(G5:G7)</f>
        <v>0</v>
      </c>
    </row>
    <row r="11" spans="1:9" x14ac:dyDescent="0.25">
      <c r="A11" s="26" t="s">
        <v>106</v>
      </c>
      <c r="B11" s="9"/>
      <c r="C11" s="9"/>
      <c r="D11" s="9"/>
    </row>
    <row r="12" spans="1:9" ht="60" x14ac:dyDescent="0.25">
      <c r="A12" s="84" t="s">
        <v>93</v>
      </c>
      <c r="B12" s="84" t="s">
        <v>34</v>
      </c>
      <c r="C12" s="51" t="s">
        <v>137</v>
      </c>
      <c r="D12" s="51" t="s">
        <v>154</v>
      </c>
      <c r="E12" s="51" t="s">
        <v>138</v>
      </c>
      <c r="F12" s="51" t="s">
        <v>155</v>
      </c>
      <c r="G12" s="51" t="s">
        <v>136</v>
      </c>
      <c r="H12" s="51" t="s">
        <v>153</v>
      </c>
      <c r="I12" s="84" t="s">
        <v>45</v>
      </c>
    </row>
    <row r="13" spans="1:9" x14ac:dyDescent="0.25">
      <c r="A13" s="23" t="s">
        <v>119</v>
      </c>
      <c r="B13" s="85" t="s">
        <v>95</v>
      </c>
      <c r="C13" s="43">
        <v>0</v>
      </c>
      <c r="D13" s="43">
        <v>0</v>
      </c>
      <c r="E13" s="28">
        <v>0</v>
      </c>
      <c r="F13" s="28">
        <v>0</v>
      </c>
      <c r="G13" s="27">
        <f t="shared" ref="G13:H16" si="1">E13*C13</f>
        <v>0</v>
      </c>
      <c r="H13" s="27">
        <f t="shared" si="1"/>
        <v>0</v>
      </c>
    </row>
    <row r="14" spans="1:9" x14ac:dyDescent="0.25">
      <c r="A14" s="23" t="s">
        <v>79</v>
      </c>
      <c r="B14" s="85" t="s">
        <v>95</v>
      </c>
      <c r="C14" s="43">
        <v>0</v>
      </c>
      <c r="D14" s="43">
        <v>0</v>
      </c>
      <c r="E14" s="28">
        <v>0</v>
      </c>
      <c r="F14" s="28">
        <v>0</v>
      </c>
      <c r="G14" s="27">
        <f t="shared" si="1"/>
        <v>0</v>
      </c>
      <c r="H14" s="27">
        <f t="shared" si="1"/>
        <v>0</v>
      </c>
    </row>
    <row r="15" spans="1:9" x14ac:dyDescent="0.25">
      <c r="A15" s="23" t="s">
        <v>80</v>
      </c>
      <c r="B15" s="85" t="s">
        <v>95</v>
      </c>
      <c r="C15" s="43">
        <v>0</v>
      </c>
      <c r="D15" s="43">
        <v>0</v>
      </c>
      <c r="E15" s="28">
        <v>0</v>
      </c>
      <c r="F15" s="28">
        <v>0</v>
      </c>
      <c r="G15" s="27">
        <f t="shared" si="1"/>
        <v>0</v>
      </c>
      <c r="H15" s="27">
        <f t="shared" si="1"/>
        <v>0</v>
      </c>
    </row>
    <row r="16" spans="1:9" x14ac:dyDescent="0.25">
      <c r="A16" s="23" t="s">
        <v>81</v>
      </c>
      <c r="B16" s="85" t="s">
        <v>95</v>
      </c>
      <c r="C16" s="43">
        <v>0</v>
      </c>
      <c r="D16" s="43">
        <v>0</v>
      </c>
      <c r="E16" s="28">
        <v>0</v>
      </c>
      <c r="F16" s="28">
        <v>0</v>
      </c>
      <c r="G16" s="27">
        <f t="shared" si="1"/>
        <v>0</v>
      </c>
      <c r="H16" s="27">
        <f t="shared" si="1"/>
        <v>0</v>
      </c>
    </row>
    <row r="17" spans="1:9" x14ac:dyDescent="0.25">
      <c r="A17" s="6" t="s">
        <v>37</v>
      </c>
      <c r="G17" s="44">
        <f>SUM(G13:G16)</f>
        <v>0</v>
      </c>
      <c r="H17" s="44">
        <f>SUM(H13:H16)</f>
        <v>0</v>
      </c>
    </row>
    <row r="18" spans="1:9" s="21" customFormat="1" x14ac:dyDescent="0.25">
      <c r="G18" s="35"/>
      <c r="H18" s="35"/>
    </row>
    <row r="20" spans="1:9" x14ac:dyDescent="0.25">
      <c r="A20" s="26" t="s">
        <v>128</v>
      </c>
      <c r="B20" s="9"/>
      <c r="C20" s="9"/>
      <c r="D20" s="9"/>
    </row>
    <row r="21" spans="1:9" ht="60" x14ac:dyDescent="0.25">
      <c r="A21" s="84" t="s">
        <v>93</v>
      </c>
      <c r="B21" s="84" t="s">
        <v>34</v>
      </c>
      <c r="C21" s="51" t="s">
        <v>137</v>
      </c>
      <c r="D21" s="51" t="s">
        <v>154</v>
      </c>
      <c r="E21" s="51" t="s">
        <v>138</v>
      </c>
      <c r="F21" s="51" t="s">
        <v>155</v>
      </c>
      <c r="G21" s="51" t="s">
        <v>136</v>
      </c>
      <c r="H21" s="51" t="s">
        <v>153</v>
      </c>
      <c r="I21" s="84" t="s">
        <v>45</v>
      </c>
    </row>
    <row r="22" spans="1:9" x14ac:dyDescent="0.25">
      <c r="A22" s="23" t="s">
        <v>119</v>
      </c>
      <c r="B22" s="85" t="s">
        <v>95</v>
      </c>
      <c r="C22" s="43">
        <v>0</v>
      </c>
      <c r="D22" s="43">
        <v>0</v>
      </c>
      <c r="E22" s="28">
        <v>0</v>
      </c>
      <c r="F22" s="50">
        <v>0</v>
      </c>
      <c r="G22" s="27">
        <f t="shared" ref="G22:H24" si="2">E22*C22</f>
        <v>0</v>
      </c>
      <c r="H22" s="27">
        <f t="shared" si="2"/>
        <v>0</v>
      </c>
    </row>
    <row r="23" spans="1:9" x14ac:dyDescent="0.25">
      <c r="A23" s="23" t="s">
        <v>79</v>
      </c>
      <c r="B23" s="85" t="s">
        <v>95</v>
      </c>
      <c r="C23" s="43">
        <v>0</v>
      </c>
      <c r="D23" s="43">
        <v>0</v>
      </c>
      <c r="E23" s="28">
        <v>0</v>
      </c>
      <c r="F23" s="28">
        <v>0</v>
      </c>
      <c r="G23" s="27">
        <f t="shared" si="2"/>
        <v>0</v>
      </c>
      <c r="H23" s="27">
        <f t="shared" si="2"/>
        <v>0</v>
      </c>
    </row>
    <row r="24" spans="1:9" x14ac:dyDescent="0.25">
      <c r="A24" s="23" t="s">
        <v>80</v>
      </c>
      <c r="B24" s="85" t="s">
        <v>95</v>
      </c>
      <c r="C24" s="43">
        <v>0</v>
      </c>
      <c r="D24" s="43">
        <v>0</v>
      </c>
      <c r="E24" s="28">
        <v>0</v>
      </c>
      <c r="F24" s="28">
        <v>0</v>
      </c>
      <c r="G24" s="27">
        <f t="shared" si="2"/>
        <v>0</v>
      </c>
      <c r="H24" s="27">
        <f t="shared" si="2"/>
        <v>0</v>
      </c>
    </row>
    <row r="25" spans="1:9" x14ac:dyDescent="0.25">
      <c r="A25" s="6" t="s">
        <v>37</v>
      </c>
      <c r="G25" s="44">
        <f>SUM(G22:G24)</f>
        <v>0</v>
      </c>
      <c r="H25" s="44">
        <f>SUM(H22:H24)</f>
        <v>0</v>
      </c>
    </row>
    <row r="27" spans="1:9" x14ac:dyDescent="0.25">
      <c r="A27" t="s">
        <v>146</v>
      </c>
      <c r="B27" s="3">
        <f>F8+G17+G25</f>
        <v>0</v>
      </c>
    </row>
    <row r="28" spans="1:9" x14ac:dyDescent="0.25">
      <c r="A28" t="s">
        <v>161</v>
      </c>
      <c r="B28" s="3">
        <f>G8+H17+H25</f>
        <v>0</v>
      </c>
    </row>
    <row r="29" spans="1:9" x14ac:dyDescent="0.25">
      <c r="A29" t="s">
        <v>111</v>
      </c>
      <c r="B29" s="41">
        <f>B27-B28</f>
        <v>0</v>
      </c>
    </row>
    <row r="30" spans="1:9" x14ac:dyDescent="0.25">
      <c r="A30" t="str">
        <f>"Total Benefits " &amp; "(for "&amp;General!$B$11&amp;" years)"</f>
        <v>Total Benefits (for 5 years)</v>
      </c>
      <c r="B30" s="41">
        <f>B29*General!$B$11</f>
        <v>0</v>
      </c>
    </row>
    <row r="32" spans="1:9" x14ac:dyDescent="0.25">
      <c r="A32" s="60" t="str">
        <f>IF(B30=0,"This sheet is not applicable to " &amp; General!$B$3 &amp; " Project","")</f>
        <v>This sheet is not applicable to NETC 09-03 Project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18"/>
  <sheetViews>
    <sheetView workbookViewId="0">
      <selection activeCell="A6" sqref="A6"/>
    </sheetView>
  </sheetViews>
  <sheetFormatPr defaultRowHeight="15" x14ac:dyDescent="0.25"/>
  <cols>
    <col min="1" max="1" width="42" customWidth="1"/>
    <col min="2" max="2" width="15" customWidth="1"/>
    <col min="3" max="3" width="9.140625" customWidth="1"/>
    <col min="4" max="4" width="13.5703125" customWidth="1"/>
    <col min="6" max="6" width="12.28515625" customWidth="1"/>
    <col min="7" max="7" width="13.42578125" customWidth="1"/>
    <col min="8" max="8" width="16.140625" customWidth="1"/>
    <col min="9" max="9" width="16.42578125" customWidth="1"/>
  </cols>
  <sheetData>
    <row r="1" spans="1:9" ht="18.75" x14ac:dyDescent="0.3">
      <c r="A1" s="10" t="s">
        <v>130</v>
      </c>
      <c r="B1" s="9"/>
      <c r="C1" s="9"/>
      <c r="D1" s="9"/>
    </row>
    <row r="4" spans="1:9" x14ac:dyDescent="0.25">
      <c r="A4" s="26" t="s">
        <v>129</v>
      </c>
      <c r="B4" s="9"/>
      <c r="C4" s="9"/>
      <c r="D4" s="9"/>
    </row>
    <row r="5" spans="1:9" ht="60" x14ac:dyDescent="0.25">
      <c r="A5" s="84" t="s">
        <v>123</v>
      </c>
      <c r="B5" s="84" t="s">
        <v>34</v>
      </c>
      <c r="C5" s="51" t="s">
        <v>137</v>
      </c>
      <c r="D5" s="51" t="s">
        <v>154</v>
      </c>
      <c r="E5" s="51" t="s">
        <v>138</v>
      </c>
      <c r="F5" s="51" t="s">
        <v>155</v>
      </c>
      <c r="G5" s="51" t="s">
        <v>136</v>
      </c>
      <c r="H5" s="51" t="s">
        <v>153</v>
      </c>
      <c r="I5" s="84" t="s">
        <v>45</v>
      </c>
    </row>
    <row r="6" spans="1:9" x14ac:dyDescent="0.25">
      <c r="A6" s="23" t="s">
        <v>119</v>
      </c>
      <c r="B6" s="85" t="s">
        <v>95</v>
      </c>
      <c r="C6" s="43">
        <v>0</v>
      </c>
      <c r="D6" s="43">
        <v>0</v>
      </c>
      <c r="E6" s="28">
        <v>0</v>
      </c>
      <c r="F6" s="28">
        <v>0</v>
      </c>
      <c r="G6" s="27">
        <f t="shared" ref="G6:H9" si="0">E6*C6</f>
        <v>0</v>
      </c>
      <c r="H6" s="27">
        <f t="shared" si="0"/>
        <v>0</v>
      </c>
    </row>
    <row r="7" spans="1:9" x14ac:dyDescent="0.25">
      <c r="A7" s="23" t="s">
        <v>79</v>
      </c>
      <c r="B7" s="85" t="s">
        <v>95</v>
      </c>
      <c r="C7" s="43">
        <v>0</v>
      </c>
      <c r="D7" s="43">
        <v>0</v>
      </c>
      <c r="E7" s="28">
        <v>0</v>
      </c>
      <c r="F7" s="28">
        <v>0</v>
      </c>
      <c r="G7" s="27">
        <f t="shared" si="0"/>
        <v>0</v>
      </c>
      <c r="H7" s="27">
        <f t="shared" si="0"/>
        <v>0</v>
      </c>
    </row>
    <row r="8" spans="1:9" x14ac:dyDescent="0.25">
      <c r="A8" s="23" t="s">
        <v>80</v>
      </c>
      <c r="B8" s="85" t="s">
        <v>95</v>
      </c>
      <c r="C8" s="43">
        <v>0</v>
      </c>
      <c r="D8" s="43">
        <v>0</v>
      </c>
      <c r="E8" s="28">
        <v>0</v>
      </c>
      <c r="F8" s="28">
        <v>0</v>
      </c>
      <c r="G8" s="27">
        <f t="shared" si="0"/>
        <v>0</v>
      </c>
      <c r="H8" s="27">
        <f t="shared" si="0"/>
        <v>0</v>
      </c>
    </row>
    <row r="9" spans="1:9" x14ac:dyDescent="0.25">
      <c r="A9" s="23" t="s">
        <v>81</v>
      </c>
      <c r="B9" s="85" t="s">
        <v>95</v>
      </c>
      <c r="C9" s="43">
        <v>0</v>
      </c>
      <c r="D9" s="43">
        <v>0</v>
      </c>
      <c r="E9" s="28">
        <v>0</v>
      </c>
      <c r="F9" s="28">
        <v>0</v>
      </c>
      <c r="G9" s="27">
        <f t="shared" si="0"/>
        <v>0</v>
      </c>
      <c r="H9" s="27">
        <f t="shared" si="0"/>
        <v>0</v>
      </c>
    </row>
    <row r="10" spans="1:9" x14ac:dyDescent="0.25">
      <c r="A10" s="6" t="s">
        <v>91</v>
      </c>
      <c r="G10" s="44">
        <f>SUM(G6:G9)</f>
        <v>0</v>
      </c>
      <c r="H10" s="44">
        <f>SUM(H6:H9)</f>
        <v>0</v>
      </c>
    </row>
    <row r="13" spans="1:9" x14ac:dyDescent="0.25">
      <c r="A13" t="s">
        <v>147</v>
      </c>
      <c r="B13" s="16">
        <f>G10</f>
        <v>0</v>
      </c>
    </row>
    <row r="14" spans="1:9" x14ac:dyDescent="0.25">
      <c r="A14" t="s">
        <v>162</v>
      </c>
      <c r="B14" s="16">
        <f>H10</f>
        <v>0</v>
      </c>
    </row>
    <row r="15" spans="1:9" x14ac:dyDescent="0.25">
      <c r="A15" t="s">
        <v>111</v>
      </c>
      <c r="B15" s="41">
        <f>B13-B14</f>
        <v>0</v>
      </c>
    </row>
    <row r="16" spans="1:9" x14ac:dyDescent="0.25">
      <c r="A16" t="str">
        <f>"Total Benefits " &amp; "(for "&amp;General!$B$11&amp;" years)"</f>
        <v>Total Benefits (for 5 years)</v>
      </c>
      <c r="B16" s="41">
        <f>B15*General!$B$11</f>
        <v>0</v>
      </c>
    </row>
    <row r="18" spans="1:1" x14ac:dyDescent="0.25">
      <c r="A18" s="60" t="str">
        <f>IF(B16=0,"This sheet is not applicable to " &amp; General!$B$3 &amp; " Project","")</f>
        <v>This sheet is not applicable to NETC 09-03 Project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18"/>
  <sheetViews>
    <sheetView workbookViewId="0">
      <selection activeCell="B6" sqref="B6"/>
    </sheetView>
  </sheetViews>
  <sheetFormatPr defaultRowHeight="15" x14ac:dyDescent="0.25"/>
  <cols>
    <col min="1" max="1" width="42" customWidth="1"/>
    <col min="2" max="2" width="15" customWidth="1"/>
    <col min="3" max="3" width="9.140625" customWidth="1"/>
    <col min="4" max="4" width="12.5703125" customWidth="1"/>
    <col min="6" max="6" width="13.28515625" customWidth="1"/>
    <col min="7" max="7" width="16.42578125" customWidth="1"/>
    <col min="8" max="8" width="16.140625" customWidth="1"/>
    <col min="9" max="9" width="16.42578125" customWidth="1"/>
  </cols>
  <sheetData>
    <row r="1" spans="1:9" ht="18.75" x14ac:dyDescent="0.3">
      <c r="A1" s="10" t="s">
        <v>131</v>
      </c>
      <c r="B1" s="9"/>
      <c r="C1" s="9"/>
      <c r="D1" s="9"/>
    </row>
    <row r="4" spans="1:9" x14ac:dyDescent="0.25">
      <c r="A4" s="26" t="s">
        <v>132</v>
      </c>
      <c r="B4" s="9"/>
      <c r="C4" s="9"/>
      <c r="D4" s="9"/>
    </row>
    <row r="5" spans="1:9" ht="60" x14ac:dyDescent="0.25">
      <c r="A5" s="84" t="s">
        <v>123</v>
      </c>
      <c r="B5" s="84" t="s">
        <v>34</v>
      </c>
      <c r="C5" s="51" t="s">
        <v>137</v>
      </c>
      <c r="D5" s="51" t="s">
        <v>154</v>
      </c>
      <c r="E5" s="51" t="s">
        <v>138</v>
      </c>
      <c r="F5" s="51" t="s">
        <v>155</v>
      </c>
      <c r="G5" s="51" t="s">
        <v>136</v>
      </c>
      <c r="H5" s="51" t="s">
        <v>153</v>
      </c>
      <c r="I5" s="84" t="s">
        <v>45</v>
      </c>
    </row>
    <row r="6" spans="1:9" x14ac:dyDescent="0.25">
      <c r="A6" s="23" t="s">
        <v>119</v>
      </c>
      <c r="B6" s="85" t="s">
        <v>95</v>
      </c>
      <c r="C6" s="43">
        <v>0</v>
      </c>
      <c r="D6" s="43">
        <v>0</v>
      </c>
      <c r="E6" s="28">
        <v>0</v>
      </c>
      <c r="F6" s="28">
        <v>0</v>
      </c>
      <c r="G6" s="27">
        <f>E6*C6</f>
        <v>0</v>
      </c>
      <c r="H6" s="27">
        <f>F6*D6</f>
        <v>0</v>
      </c>
    </row>
    <row r="7" spans="1:9" x14ac:dyDescent="0.25">
      <c r="A7" s="23" t="s">
        <v>79</v>
      </c>
      <c r="B7" s="85" t="s">
        <v>95</v>
      </c>
      <c r="C7" s="43">
        <v>0</v>
      </c>
      <c r="D7" s="43">
        <v>0</v>
      </c>
      <c r="E7" s="28">
        <v>0</v>
      </c>
      <c r="F7" s="28">
        <v>0</v>
      </c>
      <c r="G7" s="27">
        <f t="shared" ref="G7:H9" si="0">E7*C7</f>
        <v>0</v>
      </c>
      <c r="H7" s="27">
        <f t="shared" si="0"/>
        <v>0</v>
      </c>
    </row>
    <row r="8" spans="1:9" x14ac:dyDescent="0.25">
      <c r="A8" s="23" t="s">
        <v>80</v>
      </c>
      <c r="B8" s="85" t="s">
        <v>95</v>
      </c>
      <c r="C8" s="43">
        <v>0</v>
      </c>
      <c r="D8" s="43">
        <v>0</v>
      </c>
      <c r="E8" s="28">
        <v>0</v>
      </c>
      <c r="F8" s="28">
        <v>0</v>
      </c>
      <c r="G8" s="27">
        <f t="shared" si="0"/>
        <v>0</v>
      </c>
      <c r="H8" s="27">
        <f t="shared" si="0"/>
        <v>0</v>
      </c>
    </row>
    <row r="9" spans="1:9" x14ac:dyDescent="0.25">
      <c r="A9" s="23" t="s">
        <v>81</v>
      </c>
      <c r="B9" s="85" t="s">
        <v>95</v>
      </c>
      <c r="C9" s="43">
        <v>0</v>
      </c>
      <c r="D9" s="43">
        <v>0</v>
      </c>
      <c r="E9" s="28">
        <v>0</v>
      </c>
      <c r="F9" s="28">
        <v>0</v>
      </c>
      <c r="G9" s="27">
        <f t="shared" si="0"/>
        <v>0</v>
      </c>
      <c r="H9" s="27">
        <f t="shared" si="0"/>
        <v>0</v>
      </c>
    </row>
    <row r="10" spans="1:9" x14ac:dyDescent="0.25">
      <c r="A10" s="6" t="s">
        <v>91</v>
      </c>
      <c r="G10" s="44">
        <f>SUM(G6:G9)</f>
        <v>0</v>
      </c>
      <c r="H10" s="44">
        <f>SUM(H6:H9)</f>
        <v>0</v>
      </c>
    </row>
    <row r="13" spans="1:9" x14ac:dyDescent="0.25">
      <c r="A13" t="s">
        <v>148</v>
      </c>
      <c r="B13" s="16">
        <f>G10</f>
        <v>0</v>
      </c>
    </row>
    <row r="14" spans="1:9" x14ac:dyDescent="0.25">
      <c r="A14" t="s">
        <v>163</v>
      </c>
      <c r="B14" s="16">
        <f>H10</f>
        <v>0</v>
      </c>
    </row>
    <row r="15" spans="1:9" x14ac:dyDescent="0.25">
      <c r="A15" t="s">
        <v>111</v>
      </c>
      <c r="B15" s="41">
        <f>B13-B14</f>
        <v>0</v>
      </c>
    </row>
    <row r="16" spans="1:9" x14ac:dyDescent="0.25">
      <c r="A16" t="str">
        <f>"Total Benefits " &amp; "(for "&amp;General!$B$11&amp;" years)"</f>
        <v>Total Benefits (for 5 years)</v>
      </c>
      <c r="B16" s="41">
        <f>B15*General!$B$11</f>
        <v>0</v>
      </c>
    </row>
    <row r="18" spans="1:1" x14ac:dyDescent="0.25">
      <c r="A18" s="60" t="str">
        <f>IF(B16=0,"This sheet is not applicable to " &amp; General!$B$3 &amp; " Project","")</f>
        <v>This sheet is not applicable to NETC 09-03 Project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D1" zoomScaleNormal="100" workbookViewId="0">
      <selection activeCell="H3" sqref="H3"/>
    </sheetView>
  </sheetViews>
  <sheetFormatPr defaultRowHeight="15" x14ac:dyDescent="0.25"/>
  <cols>
    <col min="1" max="3" width="3.7109375" customWidth="1"/>
    <col min="4" max="4" width="32.28515625" bestFit="1" customWidth="1"/>
    <col min="5" max="5" width="27.7109375" customWidth="1"/>
    <col min="6" max="6" width="53.42578125" customWidth="1"/>
    <col min="7" max="7" width="52.140625" customWidth="1"/>
    <col min="8" max="8" width="54.85546875" customWidth="1"/>
  </cols>
  <sheetData>
    <row r="1" spans="1:8" x14ac:dyDescent="0.25">
      <c r="A1" s="89" t="s">
        <v>24</v>
      </c>
      <c r="B1" s="89"/>
      <c r="C1" s="89"/>
      <c r="D1" s="92" t="s">
        <v>0</v>
      </c>
      <c r="E1" s="92" t="s">
        <v>169</v>
      </c>
      <c r="F1" s="92" t="s">
        <v>7</v>
      </c>
      <c r="G1" s="92" t="s">
        <v>41</v>
      </c>
      <c r="H1" s="87" t="s">
        <v>170</v>
      </c>
    </row>
    <row r="2" spans="1:8" x14ac:dyDescent="0.25">
      <c r="A2" s="61">
        <v>1</v>
      </c>
      <c r="B2" s="61">
        <v>2</v>
      </c>
      <c r="C2" s="61">
        <v>3</v>
      </c>
      <c r="D2" s="93"/>
      <c r="E2" s="93"/>
      <c r="F2" s="93"/>
      <c r="G2" s="93"/>
      <c r="H2" s="88"/>
    </row>
    <row r="3" spans="1:8" s="7" customFormat="1" ht="30" x14ac:dyDescent="0.25">
      <c r="A3" s="62" t="s">
        <v>72</v>
      </c>
      <c r="B3" s="62"/>
      <c r="C3" s="62"/>
      <c r="D3" s="65" t="s">
        <v>75</v>
      </c>
      <c r="E3" s="75" t="s">
        <v>75</v>
      </c>
      <c r="F3" s="75" t="s">
        <v>63</v>
      </c>
      <c r="G3" s="75" t="s">
        <v>181</v>
      </c>
      <c r="H3" s="75" t="s">
        <v>200</v>
      </c>
    </row>
    <row r="4" spans="1:8" s="23" customFormat="1" ht="45" x14ac:dyDescent="0.25">
      <c r="A4" s="63"/>
      <c r="B4" s="64" t="s">
        <v>72</v>
      </c>
      <c r="C4" s="64"/>
      <c r="D4" s="90" t="s">
        <v>56</v>
      </c>
      <c r="E4" s="76" t="s">
        <v>2</v>
      </c>
      <c r="F4" s="76" t="s">
        <v>64</v>
      </c>
      <c r="G4" s="76" t="s">
        <v>171</v>
      </c>
      <c r="H4" s="76" t="s">
        <v>201</v>
      </c>
    </row>
    <row r="5" spans="1:8" s="23" customFormat="1" ht="75" x14ac:dyDescent="0.25">
      <c r="A5" s="63"/>
      <c r="B5" s="64" t="s">
        <v>72</v>
      </c>
      <c r="C5" s="64"/>
      <c r="D5" s="90"/>
      <c r="E5" s="76" t="s">
        <v>61</v>
      </c>
      <c r="F5" s="76" t="s">
        <v>65</v>
      </c>
      <c r="G5" s="76" t="s">
        <v>179</v>
      </c>
      <c r="H5" s="76" t="s">
        <v>202</v>
      </c>
    </row>
    <row r="6" spans="1:8" s="7" customFormat="1" ht="45" x14ac:dyDescent="0.25">
      <c r="A6" s="65"/>
      <c r="B6" s="62"/>
      <c r="C6" s="62" t="s">
        <v>72</v>
      </c>
      <c r="D6" s="91" t="s">
        <v>57</v>
      </c>
      <c r="E6" s="75" t="s">
        <v>2</v>
      </c>
      <c r="F6" s="75" t="s">
        <v>66</v>
      </c>
      <c r="G6" s="75" t="s">
        <v>42</v>
      </c>
      <c r="H6" s="75" t="s">
        <v>201</v>
      </c>
    </row>
    <row r="7" spans="1:8" s="7" customFormat="1" ht="45" x14ac:dyDescent="0.25">
      <c r="A7" s="65"/>
      <c r="B7" s="62"/>
      <c r="C7" s="62" t="s">
        <v>72</v>
      </c>
      <c r="D7" s="91"/>
      <c r="E7" s="75" t="s">
        <v>61</v>
      </c>
      <c r="F7" s="75" t="s">
        <v>67</v>
      </c>
      <c r="G7" s="75" t="s">
        <v>42</v>
      </c>
      <c r="H7" s="75" t="s">
        <v>201</v>
      </c>
    </row>
    <row r="8" spans="1:8" s="5" customFormat="1" ht="30" x14ac:dyDescent="0.25">
      <c r="A8" s="66" t="s">
        <v>72</v>
      </c>
      <c r="B8" s="67" t="s">
        <v>72</v>
      </c>
      <c r="C8" s="67" t="s">
        <v>72</v>
      </c>
      <c r="D8" s="68" t="s">
        <v>58</v>
      </c>
      <c r="E8" s="77" t="s">
        <v>73</v>
      </c>
      <c r="F8" s="77" t="s">
        <v>68</v>
      </c>
      <c r="G8" s="77" t="s">
        <v>196</v>
      </c>
      <c r="H8" s="77" t="s">
        <v>200</v>
      </c>
    </row>
    <row r="9" spans="1:8" s="24" customFormat="1" x14ac:dyDescent="0.25">
      <c r="A9" s="69"/>
      <c r="B9" s="70"/>
      <c r="C9" s="70"/>
      <c r="D9" s="71" t="s">
        <v>59</v>
      </c>
      <c r="E9" s="78" t="s">
        <v>3</v>
      </c>
      <c r="F9" s="78" t="s">
        <v>22</v>
      </c>
      <c r="G9" s="78" t="s">
        <v>172</v>
      </c>
      <c r="H9" s="69" t="s">
        <v>8</v>
      </c>
    </row>
    <row r="10" spans="1:8" s="4" customFormat="1" x14ac:dyDescent="0.25">
      <c r="A10" s="72"/>
      <c r="B10" s="73"/>
      <c r="C10" s="73"/>
      <c r="D10" s="74" t="s">
        <v>4</v>
      </c>
      <c r="E10" s="79" t="s">
        <v>4</v>
      </c>
      <c r="F10" s="79" t="s">
        <v>69</v>
      </c>
      <c r="G10" s="79" t="s">
        <v>172</v>
      </c>
      <c r="H10" s="72" t="s">
        <v>8</v>
      </c>
    </row>
    <row r="11" spans="1:8" s="23" customFormat="1" ht="30" x14ac:dyDescent="0.25">
      <c r="A11" s="63"/>
      <c r="B11" s="64"/>
      <c r="C11" s="64"/>
      <c r="D11" s="90" t="s">
        <v>5</v>
      </c>
      <c r="E11" s="76" t="s">
        <v>2</v>
      </c>
      <c r="F11" s="76" t="s">
        <v>60</v>
      </c>
      <c r="G11" s="76" t="s">
        <v>172</v>
      </c>
      <c r="H11" s="63" t="s">
        <v>8</v>
      </c>
    </row>
    <row r="12" spans="1:8" s="23" customFormat="1" ht="30" x14ac:dyDescent="0.25">
      <c r="A12" s="63"/>
      <c r="B12" s="64"/>
      <c r="C12" s="64"/>
      <c r="D12" s="90"/>
      <c r="E12" s="76" t="s">
        <v>61</v>
      </c>
      <c r="F12" s="76" t="s">
        <v>62</v>
      </c>
      <c r="G12" s="76" t="s">
        <v>172</v>
      </c>
      <c r="H12" s="63" t="s">
        <v>8</v>
      </c>
    </row>
    <row r="13" spans="1:8" s="23" customFormat="1" ht="30" x14ac:dyDescent="0.25">
      <c r="A13" s="63"/>
      <c r="B13" s="64"/>
      <c r="C13" s="64"/>
      <c r="D13" s="90"/>
      <c r="E13" s="76" t="s">
        <v>74</v>
      </c>
      <c r="F13" s="76" t="s">
        <v>180</v>
      </c>
      <c r="G13" s="76" t="s">
        <v>172</v>
      </c>
      <c r="H13" s="63" t="s">
        <v>8</v>
      </c>
    </row>
    <row r="14" spans="1:8" s="24" customFormat="1" x14ac:dyDescent="0.25">
      <c r="A14" s="69"/>
      <c r="B14" s="70"/>
      <c r="C14" s="70"/>
      <c r="D14" s="71" t="s">
        <v>6</v>
      </c>
      <c r="E14" s="78" t="s">
        <v>6</v>
      </c>
      <c r="F14" s="78" t="s">
        <v>21</v>
      </c>
      <c r="G14" s="78" t="s">
        <v>172</v>
      </c>
      <c r="H14" s="69" t="s">
        <v>8</v>
      </c>
    </row>
    <row r="15" spans="1:8" s="7" customFormat="1" x14ac:dyDescent="0.25">
      <c r="A15" s="65"/>
      <c r="B15" s="62"/>
      <c r="C15" s="62"/>
      <c r="D15" s="65" t="s">
        <v>1</v>
      </c>
      <c r="E15" s="75" t="s">
        <v>1</v>
      </c>
      <c r="F15" s="75" t="s">
        <v>23</v>
      </c>
      <c r="G15" s="75" t="s">
        <v>8</v>
      </c>
      <c r="H15" s="65" t="s">
        <v>8</v>
      </c>
    </row>
    <row r="16" spans="1:8" x14ac:dyDescent="0.25">
      <c r="A16" s="20">
        <v>1</v>
      </c>
      <c r="B16" s="21" t="s">
        <v>70</v>
      </c>
      <c r="C16" s="21"/>
      <c r="H16" s="2"/>
    </row>
    <row r="17" spans="1:8" x14ac:dyDescent="0.25">
      <c r="A17" s="2">
        <v>2</v>
      </c>
      <c r="B17" t="s">
        <v>173</v>
      </c>
      <c r="D17" s="22"/>
      <c r="H17" s="2"/>
    </row>
    <row r="18" spans="1:8" x14ac:dyDescent="0.25">
      <c r="A18" s="2">
        <v>3</v>
      </c>
      <c r="B18" t="s">
        <v>71</v>
      </c>
    </row>
    <row r="20" spans="1:8" x14ac:dyDescent="0.25">
      <c r="A20" s="2"/>
    </row>
  </sheetData>
  <mergeCells count="9">
    <mergeCell ref="H1:H2"/>
    <mergeCell ref="A1:C1"/>
    <mergeCell ref="D4:D5"/>
    <mergeCell ref="D6:D7"/>
    <mergeCell ref="D11:D13"/>
    <mergeCell ref="D1:D2"/>
    <mergeCell ref="E1:E2"/>
    <mergeCell ref="F1:F2"/>
    <mergeCell ref="G1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9"/>
  <sheetViews>
    <sheetView zoomScale="115" zoomScaleNormal="115" workbookViewId="0">
      <selection activeCell="F10" sqref="F10"/>
    </sheetView>
  </sheetViews>
  <sheetFormatPr defaultRowHeight="15" x14ac:dyDescent="0.25"/>
  <cols>
    <col min="1" max="1" width="15.140625" customWidth="1"/>
    <col min="2" max="2" width="18.140625" customWidth="1"/>
    <col min="3" max="3" width="19.85546875" customWidth="1"/>
    <col min="4" max="4" width="25.140625" customWidth="1"/>
    <col min="5" max="5" width="22" customWidth="1"/>
    <col min="6" max="6" width="26.28515625" customWidth="1"/>
  </cols>
  <sheetData>
    <row r="1" spans="1:13" x14ac:dyDescent="0.25">
      <c r="A1" s="26" t="s">
        <v>133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" t="s">
        <v>35</v>
      </c>
      <c r="B2" s="1" t="s">
        <v>53</v>
      </c>
      <c r="C2" s="1" t="s">
        <v>175</v>
      </c>
    </row>
    <row r="3" spans="1:13" x14ac:dyDescent="0.25">
      <c r="A3" t="s">
        <v>29</v>
      </c>
      <c r="B3" s="42">
        <v>4238</v>
      </c>
      <c r="C3" t="s">
        <v>176</v>
      </c>
    </row>
    <row r="4" spans="1:13" x14ac:dyDescent="0.25">
      <c r="A4" t="s">
        <v>30</v>
      </c>
      <c r="B4" s="42">
        <v>2458</v>
      </c>
    </row>
    <row r="5" spans="1:13" x14ac:dyDescent="0.25">
      <c r="A5" t="s">
        <v>31</v>
      </c>
      <c r="B5" s="42">
        <v>5192</v>
      </c>
    </row>
    <row r="6" spans="1:13" x14ac:dyDescent="0.25">
      <c r="A6" t="s">
        <v>182</v>
      </c>
      <c r="B6" s="42">
        <v>2479</v>
      </c>
    </row>
    <row r="7" spans="1:13" x14ac:dyDescent="0.25">
      <c r="A7" t="s">
        <v>32</v>
      </c>
      <c r="B7" s="42">
        <v>778</v>
      </c>
    </row>
    <row r="8" spans="1:13" x14ac:dyDescent="0.25">
      <c r="A8" t="s">
        <v>33</v>
      </c>
      <c r="B8" s="42">
        <v>2772</v>
      </c>
    </row>
    <row r="9" spans="1:13" x14ac:dyDescent="0.25">
      <c r="A9" s="1" t="s">
        <v>37</v>
      </c>
      <c r="B9" s="59">
        <f>SUM(B3:B8)</f>
        <v>17917</v>
      </c>
    </row>
    <row r="11" spans="1:13" x14ac:dyDescent="0.25">
      <c r="A11" s="26" t="s">
        <v>134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80" t="s">
        <v>102</v>
      </c>
      <c r="B12" s="80"/>
      <c r="C12" s="80"/>
      <c r="D12" s="80"/>
      <c r="E12" s="81">
        <v>6</v>
      </c>
      <c r="F12" s="80" t="s">
        <v>197</v>
      </c>
      <c r="G12" s="80"/>
      <c r="H12" s="80"/>
      <c r="I12" s="80"/>
      <c r="J12" s="80"/>
      <c r="K12" s="80"/>
      <c r="L12" s="80"/>
      <c r="M12" s="80"/>
    </row>
    <row r="13" spans="1:13" x14ac:dyDescent="0.25">
      <c r="A13" s="80" t="s">
        <v>113</v>
      </c>
      <c r="B13" s="80"/>
      <c r="C13" s="80"/>
      <c r="D13" s="80"/>
      <c r="E13" s="82">
        <v>0.1</v>
      </c>
      <c r="F13" s="80" t="s">
        <v>198</v>
      </c>
      <c r="G13" s="80"/>
      <c r="H13" s="80"/>
      <c r="I13" s="80"/>
      <c r="J13" s="80"/>
      <c r="K13" s="80"/>
      <c r="L13" s="80"/>
      <c r="M13" s="80"/>
    </row>
    <row r="14" spans="1:13" x14ac:dyDescent="0.25">
      <c r="A14" s="80" t="str">
        <f>"New drains lower number of locations that require repairs because of leak by "&amp;E14*100 &amp; "%"</f>
        <v>New drains lower number of locations that require repairs because of leak by 80%</v>
      </c>
      <c r="B14" s="80"/>
      <c r="C14" s="80"/>
      <c r="D14" s="80"/>
      <c r="E14" s="82">
        <v>0.8</v>
      </c>
      <c r="F14" s="80" t="s">
        <v>199</v>
      </c>
      <c r="G14" s="80"/>
      <c r="H14" s="80"/>
      <c r="I14" s="80"/>
      <c r="J14" s="80"/>
      <c r="K14" s="80"/>
      <c r="L14" s="80"/>
      <c r="M14" s="80"/>
    </row>
    <row r="15" spans="1:13" x14ac:dyDescent="0.25">
      <c r="A15" s="80" t="s">
        <v>140</v>
      </c>
      <c r="B15" s="80"/>
      <c r="C15" s="80"/>
      <c r="D15" s="80"/>
      <c r="E15" s="83">
        <v>1</v>
      </c>
      <c r="F15" s="80" t="s">
        <v>199</v>
      </c>
      <c r="G15" s="80"/>
      <c r="H15" s="80"/>
      <c r="I15" s="80"/>
      <c r="J15" s="80"/>
      <c r="K15" s="80"/>
      <c r="L15" s="80"/>
      <c r="M15" s="80"/>
    </row>
    <row r="16" spans="1:13" x14ac:dyDescent="0.25">
      <c r="A16" s="80" t="s">
        <v>149</v>
      </c>
      <c r="B16" s="80"/>
      <c r="C16" s="80"/>
      <c r="D16" s="80"/>
      <c r="E16" s="82">
        <v>0.6</v>
      </c>
      <c r="F16" s="80" t="s">
        <v>199</v>
      </c>
      <c r="G16" s="80"/>
      <c r="H16" s="80"/>
      <c r="I16" s="80"/>
      <c r="J16" s="80"/>
      <c r="K16" s="80"/>
      <c r="L16" s="80"/>
      <c r="M16" s="80"/>
    </row>
    <row r="17" spans="1:13" x14ac:dyDescent="0.25">
      <c r="A17" s="80" t="s">
        <v>183</v>
      </c>
      <c r="B17" s="80"/>
      <c r="C17" s="80"/>
      <c r="D17" s="80"/>
      <c r="E17" s="83">
        <v>16</v>
      </c>
      <c r="F17" s="80" t="s">
        <v>199</v>
      </c>
      <c r="G17" s="80"/>
      <c r="H17" s="80"/>
      <c r="I17" s="80"/>
      <c r="J17" s="80"/>
      <c r="K17" s="80"/>
      <c r="L17" s="80"/>
      <c r="M17" s="80"/>
    </row>
    <row r="18" spans="1:13" x14ac:dyDescent="0.25">
      <c r="A18" s="80" t="s">
        <v>184</v>
      </c>
      <c r="B18" s="80"/>
      <c r="C18" s="80"/>
      <c r="D18" s="80"/>
      <c r="E18" s="83">
        <v>12</v>
      </c>
      <c r="F18" s="80" t="s">
        <v>199</v>
      </c>
      <c r="G18" s="80"/>
      <c r="H18" s="80"/>
      <c r="I18" s="80"/>
      <c r="J18" s="80"/>
      <c r="K18" s="80"/>
      <c r="L18" s="80"/>
      <c r="M18" s="80"/>
    </row>
    <row r="19" spans="1:13" x14ac:dyDescent="0.25">
      <c r="E19" s="19"/>
    </row>
    <row r="20" spans="1:13" x14ac:dyDescent="0.25">
      <c r="E20" s="19"/>
    </row>
    <row r="21" spans="1:13" x14ac:dyDescent="0.25">
      <c r="A21" s="26" t="s">
        <v>103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45" x14ac:dyDescent="0.25">
      <c r="A22" s="84" t="s">
        <v>35</v>
      </c>
      <c r="B22" s="51" t="s">
        <v>104</v>
      </c>
      <c r="C22" s="51" t="s">
        <v>194</v>
      </c>
      <c r="D22" s="51" t="s">
        <v>141</v>
      </c>
      <c r="E22" s="51" t="s">
        <v>150</v>
      </c>
      <c r="F22" s="51" t="s">
        <v>151</v>
      </c>
      <c r="G22" s="18"/>
    </row>
    <row r="23" spans="1:13" x14ac:dyDescent="0.25">
      <c r="A23" t="s">
        <v>29</v>
      </c>
      <c r="B23" s="42">
        <f t="shared" ref="B23:B28" si="0">B3*$E$12</f>
        <v>25428</v>
      </c>
      <c r="C23" s="32">
        <f>Deploy_schedule!D3/General!$B$11</f>
        <v>254.28000000000003</v>
      </c>
      <c r="D23">
        <f t="shared" ref="D23:D28" si="1">ROUND(C23*$E$13,0)</f>
        <v>25</v>
      </c>
      <c r="E23" s="32">
        <f t="shared" ref="E23:E28" si="2">C23*(1-$E$14)</f>
        <v>50.855999999999995</v>
      </c>
      <c r="F23" s="32">
        <f>E23*$E$13</f>
        <v>5.0855999999999995</v>
      </c>
    </row>
    <row r="24" spans="1:13" x14ac:dyDescent="0.25">
      <c r="A24" t="s">
        <v>30</v>
      </c>
      <c r="B24" s="42">
        <f t="shared" si="0"/>
        <v>14748</v>
      </c>
      <c r="C24" s="32">
        <f>Deploy_schedule!D4/General!$B$11</f>
        <v>221.21999999999997</v>
      </c>
      <c r="D24">
        <f t="shared" si="1"/>
        <v>22</v>
      </c>
      <c r="E24" s="32">
        <f t="shared" si="2"/>
        <v>44.243999999999986</v>
      </c>
      <c r="F24" s="32">
        <f t="shared" ref="F24:F28" si="3">E24*$E$13</f>
        <v>4.4243999999999986</v>
      </c>
    </row>
    <row r="25" spans="1:13" x14ac:dyDescent="0.25">
      <c r="A25" t="s">
        <v>31</v>
      </c>
      <c r="B25" s="42">
        <f t="shared" si="0"/>
        <v>31152</v>
      </c>
      <c r="C25" s="32">
        <f>Deploy_schedule!D5/General!$B$11</f>
        <v>311.52</v>
      </c>
      <c r="D25">
        <f t="shared" si="1"/>
        <v>31</v>
      </c>
      <c r="E25" s="32">
        <f t="shared" si="2"/>
        <v>62.303999999999981</v>
      </c>
      <c r="F25" s="32">
        <f t="shared" si="3"/>
        <v>6.2303999999999986</v>
      </c>
    </row>
    <row r="26" spans="1:13" x14ac:dyDescent="0.25">
      <c r="A26" t="s">
        <v>182</v>
      </c>
      <c r="B26" s="42">
        <f t="shared" si="0"/>
        <v>14874</v>
      </c>
      <c r="C26" s="32">
        <f>Deploy_schedule!D6/General!$B$11</f>
        <v>223.10999999999999</v>
      </c>
      <c r="D26">
        <f t="shared" si="1"/>
        <v>22</v>
      </c>
      <c r="E26" s="32">
        <f t="shared" si="2"/>
        <v>44.621999999999986</v>
      </c>
      <c r="F26" s="32">
        <f t="shared" si="3"/>
        <v>4.4621999999999984</v>
      </c>
    </row>
    <row r="27" spans="1:13" x14ac:dyDescent="0.25">
      <c r="A27" t="s">
        <v>32</v>
      </c>
      <c r="B27" s="42">
        <f t="shared" si="0"/>
        <v>4668</v>
      </c>
      <c r="C27" s="32">
        <f>Deploy_schedule!D7/General!$B$11</f>
        <v>46.68</v>
      </c>
      <c r="D27">
        <f t="shared" si="1"/>
        <v>5</v>
      </c>
      <c r="E27" s="32">
        <f t="shared" si="2"/>
        <v>9.3359999999999985</v>
      </c>
      <c r="F27" s="32">
        <f t="shared" si="3"/>
        <v>0.93359999999999987</v>
      </c>
    </row>
    <row r="28" spans="1:13" x14ac:dyDescent="0.25">
      <c r="A28" t="s">
        <v>33</v>
      </c>
      <c r="B28" s="42">
        <f t="shared" si="0"/>
        <v>16632</v>
      </c>
      <c r="C28" s="32">
        <f>Deploy_schedule!D8/General!$B$11</f>
        <v>199.584</v>
      </c>
      <c r="D28">
        <f t="shared" si="1"/>
        <v>20</v>
      </c>
      <c r="E28" s="32">
        <f t="shared" si="2"/>
        <v>39.916799999999995</v>
      </c>
      <c r="F28" s="32">
        <f t="shared" si="3"/>
        <v>3.9916799999999997</v>
      </c>
    </row>
    <row r="29" spans="1:13" x14ac:dyDescent="0.25">
      <c r="A29" s="1" t="s">
        <v>37</v>
      </c>
      <c r="B29" s="59">
        <f>SUM(B23:B28)</f>
        <v>107502</v>
      </c>
      <c r="C29" s="57">
        <f>SUM(C23:C28)</f>
        <v>1256.394</v>
      </c>
      <c r="D29" s="14">
        <f>SUM(D23:D28)</f>
        <v>125</v>
      </c>
      <c r="E29" s="58">
        <f>SUM(E23:E28)</f>
        <v>251.27879999999996</v>
      </c>
      <c r="F29" s="58">
        <f>SUM(F23:F28)</f>
        <v>25.127879999999994</v>
      </c>
      <c r="G29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9"/>
  <sheetViews>
    <sheetView zoomScaleNormal="100" workbookViewId="0">
      <selection activeCell="A4" sqref="A4"/>
    </sheetView>
  </sheetViews>
  <sheetFormatPr defaultRowHeight="15" x14ac:dyDescent="0.25"/>
  <cols>
    <col min="1" max="1" width="14.140625" bestFit="1" customWidth="1"/>
    <col min="3" max="3" width="13.28515625" customWidth="1"/>
    <col min="4" max="4" width="10.140625" bestFit="1" customWidth="1"/>
    <col min="5" max="9" width="10" bestFit="1" customWidth="1"/>
  </cols>
  <sheetData>
    <row r="1" spans="1:14" ht="18.75" x14ac:dyDescent="0.3">
      <c r="A1" s="10" t="s">
        <v>39</v>
      </c>
      <c r="B1" s="9"/>
      <c r="C1" s="9"/>
      <c r="D1" s="9"/>
      <c r="E1" s="9"/>
      <c r="F1" s="9"/>
      <c r="G1" s="9"/>
      <c r="H1" s="9" t="str">
        <f>"(Number of analysis years="&amp;General!$B$11&amp;")"</f>
        <v>(Number of analysis years=5)</v>
      </c>
      <c r="I1" s="9"/>
      <c r="J1" s="9"/>
      <c r="K1" s="13">
        <f>General!$B$11</f>
        <v>5</v>
      </c>
    </row>
    <row r="2" spans="1:14" ht="45" x14ac:dyDescent="0.25">
      <c r="A2" s="84" t="s">
        <v>35</v>
      </c>
      <c r="B2" s="84" t="s">
        <v>34</v>
      </c>
      <c r="C2" s="51" t="s">
        <v>174</v>
      </c>
      <c r="D2" s="84" t="s">
        <v>37</v>
      </c>
      <c r="E2" s="84" t="str">
        <f>IF($K$1&gt;=1,"Year 1","")</f>
        <v>Year 1</v>
      </c>
      <c r="F2" s="84" t="str">
        <f>IF($K$1&gt;=2,"Year 2","")</f>
        <v>Year 2</v>
      </c>
      <c r="G2" s="84" t="str">
        <f>IF($K$1&gt;=3,"Year 3","")</f>
        <v>Year 3</v>
      </c>
      <c r="H2" s="84" t="str">
        <f>IF($K$1&gt;=4,"Year 4","")</f>
        <v>Year 4</v>
      </c>
      <c r="I2" s="84" t="str">
        <f>IF($K$1&gt;=5,"Year 5","")</f>
        <v>Year 5</v>
      </c>
      <c r="J2" s="84" t="str">
        <f>IF($K$1&gt;=6,"Year 6","")</f>
        <v/>
      </c>
      <c r="K2" s="84" t="str">
        <f>IF($K$1&gt;=7,"Year 7","")</f>
        <v/>
      </c>
      <c r="L2" s="84" t="str">
        <f>IF($K$1&gt;=8,"Year 8","")</f>
        <v/>
      </c>
      <c r="M2" s="84" t="str">
        <f>IF($K$1&gt;=9,"Year 9","")</f>
        <v/>
      </c>
      <c r="N2" s="84" t="str">
        <f>IF($K$1&gt;=10,"Year 10","")</f>
        <v/>
      </c>
    </row>
    <row r="3" spans="1:14" x14ac:dyDescent="0.25">
      <c r="A3" t="s">
        <v>29</v>
      </c>
      <c r="B3" s="11" t="s">
        <v>36</v>
      </c>
      <c r="C3" s="52">
        <v>0.01</v>
      </c>
      <c r="D3" s="54">
        <f>SUM(E3:N3)</f>
        <v>1271.4000000000001</v>
      </c>
      <c r="E3" s="55">
        <f>IF(E$2&lt;&gt;"",$C3*'Inputs&amp;Assumptions'!$B23,"")</f>
        <v>254.28</v>
      </c>
      <c r="F3" s="55">
        <f>IF(F$2&lt;&gt;"",$C3*'Inputs&amp;Assumptions'!$B23,"")</f>
        <v>254.28</v>
      </c>
      <c r="G3" s="55">
        <f>IF(G$2&lt;&gt;"",$C3*'Inputs&amp;Assumptions'!$B23,"")</f>
        <v>254.28</v>
      </c>
      <c r="H3" s="55">
        <f>IF(H$2&lt;&gt;"",$C3*'Inputs&amp;Assumptions'!$B23,"")</f>
        <v>254.28</v>
      </c>
      <c r="I3" s="55">
        <f>IF(I$2&lt;&gt;"",$C3*'Inputs&amp;Assumptions'!$B23,"")</f>
        <v>254.28</v>
      </c>
      <c r="J3" s="53" t="str">
        <f>IF(J$2&lt;&gt;"",$C3*'Inputs&amp;Assumptions'!$B23,"")</f>
        <v/>
      </c>
      <c r="K3" s="53" t="str">
        <f>IF(K$2&lt;&gt;"",$C3*'Inputs&amp;Assumptions'!$B23,"")</f>
        <v/>
      </c>
      <c r="L3" s="53" t="str">
        <f>IF(L$2&lt;&gt;"",$C3*'Inputs&amp;Assumptions'!$B23,"")</f>
        <v/>
      </c>
      <c r="M3" s="53" t="str">
        <f>IF(M$2&lt;&gt;"",$C3*'Inputs&amp;Assumptions'!$B23,"")</f>
        <v/>
      </c>
      <c r="N3" s="53" t="str">
        <f>IF(N$2&lt;&gt;"",$C3*'Inputs&amp;Assumptions'!$B23,"")</f>
        <v/>
      </c>
    </row>
    <row r="4" spans="1:14" x14ac:dyDescent="0.25">
      <c r="A4" t="s">
        <v>30</v>
      </c>
      <c r="B4" s="11" t="s">
        <v>36</v>
      </c>
      <c r="C4" s="52">
        <v>1.4999999999999999E-2</v>
      </c>
      <c r="D4" s="54">
        <f t="shared" ref="D4:D8" si="0">SUM(E4:N4)</f>
        <v>1106.0999999999999</v>
      </c>
      <c r="E4" s="55">
        <f>IF(E$2&lt;&gt;"",$C4*'Inputs&amp;Assumptions'!$B24,"")</f>
        <v>221.22</v>
      </c>
      <c r="F4" s="55">
        <f>IF(F$2&lt;&gt;"",$C4*'Inputs&amp;Assumptions'!$B24,"")</f>
        <v>221.22</v>
      </c>
      <c r="G4" s="55">
        <f>IF(G$2&lt;&gt;"",$C4*'Inputs&amp;Assumptions'!$B24,"")</f>
        <v>221.22</v>
      </c>
      <c r="H4" s="55">
        <f>IF(H$2&lt;&gt;"",$C4*'Inputs&amp;Assumptions'!$B24,"")</f>
        <v>221.22</v>
      </c>
      <c r="I4" s="55">
        <f>IF(I$2&lt;&gt;"",$C4*'Inputs&amp;Assumptions'!$B24,"")</f>
        <v>221.22</v>
      </c>
      <c r="J4" s="53" t="str">
        <f>IF(J$2&lt;&gt;"",$C4*'Inputs&amp;Assumptions'!$B24,"")</f>
        <v/>
      </c>
      <c r="K4" s="53" t="str">
        <f>IF(K$2&lt;&gt;"",$C4*'Inputs&amp;Assumptions'!$B24,"")</f>
        <v/>
      </c>
      <c r="L4" s="53" t="str">
        <f>IF(L$2&lt;&gt;"",$C4*'Inputs&amp;Assumptions'!$B24,"")</f>
        <v/>
      </c>
      <c r="M4" s="53" t="str">
        <f>IF(M$2&lt;&gt;"",$C4*'Inputs&amp;Assumptions'!$B24,"")</f>
        <v/>
      </c>
      <c r="N4" s="53" t="str">
        <f>IF(N$2&lt;&gt;"",$C4*'Inputs&amp;Assumptions'!$B24,"")</f>
        <v/>
      </c>
    </row>
    <row r="5" spans="1:14" x14ac:dyDescent="0.25">
      <c r="A5" t="s">
        <v>31</v>
      </c>
      <c r="B5" s="11" t="s">
        <v>36</v>
      </c>
      <c r="C5" s="52">
        <v>0.01</v>
      </c>
      <c r="D5" s="54">
        <f t="shared" si="0"/>
        <v>1557.6</v>
      </c>
      <c r="E5" s="55">
        <f>IF(E$2&lt;&gt;"",$C5*'Inputs&amp;Assumptions'!$B25,"")</f>
        <v>311.52</v>
      </c>
      <c r="F5" s="55">
        <f>IF(F$2&lt;&gt;"",$C5*'Inputs&amp;Assumptions'!$B25,"")</f>
        <v>311.52</v>
      </c>
      <c r="G5" s="55">
        <f>IF(G$2&lt;&gt;"",$C5*'Inputs&amp;Assumptions'!$B25,"")</f>
        <v>311.52</v>
      </c>
      <c r="H5" s="55">
        <f>IF(H$2&lt;&gt;"",$C5*'Inputs&amp;Assumptions'!$B25,"")</f>
        <v>311.52</v>
      </c>
      <c r="I5" s="55">
        <f>IF(I$2&lt;&gt;"",$C5*'Inputs&amp;Assumptions'!$B25,"")</f>
        <v>311.52</v>
      </c>
      <c r="J5" s="53" t="str">
        <f>IF(J$2&lt;&gt;"",$C5*'Inputs&amp;Assumptions'!$B25,"")</f>
        <v/>
      </c>
      <c r="K5" s="53" t="str">
        <f>IF(K$2&lt;&gt;"",$C5*'Inputs&amp;Assumptions'!$B25,"")</f>
        <v/>
      </c>
      <c r="L5" s="53" t="str">
        <f>IF(L$2&lt;&gt;"",$C5*'Inputs&amp;Assumptions'!$B25,"")</f>
        <v/>
      </c>
      <c r="M5" s="53" t="str">
        <f>IF(M$2&lt;&gt;"",$C5*'Inputs&amp;Assumptions'!$B25,"")</f>
        <v/>
      </c>
      <c r="N5" s="53" t="str">
        <f>IF(N$2&lt;&gt;"",$C5*'Inputs&amp;Assumptions'!$B25,"")</f>
        <v/>
      </c>
    </row>
    <row r="6" spans="1:14" x14ac:dyDescent="0.25">
      <c r="A6" t="s">
        <v>182</v>
      </c>
      <c r="B6" s="11" t="s">
        <v>36</v>
      </c>
      <c r="C6" s="52">
        <v>1.4999999999999999E-2</v>
      </c>
      <c r="D6" s="54">
        <f t="shared" si="0"/>
        <v>1115.55</v>
      </c>
      <c r="E6" s="55">
        <f>IF(E$2&lt;&gt;"",$C6*'Inputs&amp;Assumptions'!$B26,"")</f>
        <v>223.10999999999999</v>
      </c>
      <c r="F6" s="55">
        <f>IF(F$2&lt;&gt;"",$C6*'Inputs&amp;Assumptions'!$B26,"")</f>
        <v>223.10999999999999</v>
      </c>
      <c r="G6" s="55">
        <f>IF(G$2&lt;&gt;"",$C6*'Inputs&amp;Assumptions'!$B26,"")</f>
        <v>223.10999999999999</v>
      </c>
      <c r="H6" s="55">
        <f>IF(H$2&lt;&gt;"",$C6*'Inputs&amp;Assumptions'!$B26,"")</f>
        <v>223.10999999999999</v>
      </c>
      <c r="I6" s="55">
        <f>IF(I$2&lt;&gt;"",$C6*'Inputs&amp;Assumptions'!$B26,"")</f>
        <v>223.10999999999999</v>
      </c>
      <c r="J6" s="53" t="str">
        <f>IF(J$2&lt;&gt;"",$C6*'Inputs&amp;Assumptions'!$B26,"")</f>
        <v/>
      </c>
      <c r="K6" s="53" t="str">
        <f>IF(K$2&lt;&gt;"",$C6*'Inputs&amp;Assumptions'!$B26,"")</f>
        <v/>
      </c>
      <c r="L6" s="53" t="str">
        <f>IF(L$2&lt;&gt;"",$C6*'Inputs&amp;Assumptions'!$B26,"")</f>
        <v/>
      </c>
      <c r="M6" s="53" t="str">
        <f>IF(M$2&lt;&gt;"",$C6*'Inputs&amp;Assumptions'!$B26,"")</f>
        <v/>
      </c>
      <c r="N6" s="53" t="str">
        <f>IF(N$2&lt;&gt;"",$C6*'Inputs&amp;Assumptions'!$B26,"")</f>
        <v/>
      </c>
    </row>
    <row r="7" spans="1:14" x14ac:dyDescent="0.25">
      <c r="A7" t="s">
        <v>32</v>
      </c>
      <c r="B7" s="11" t="s">
        <v>36</v>
      </c>
      <c r="C7" s="52">
        <v>0.01</v>
      </c>
      <c r="D7" s="54">
        <f t="shared" si="0"/>
        <v>233.4</v>
      </c>
      <c r="E7" s="55">
        <f>IF(E$2&lt;&gt;"",$C7*'Inputs&amp;Assumptions'!$B27,"")</f>
        <v>46.68</v>
      </c>
      <c r="F7" s="55">
        <f>IF(F$2&lt;&gt;"",$C7*'Inputs&amp;Assumptions'!$B27,"")</f>
        <v>46.68</v>
      </c>
      <c r="G7" s="55">
        <f>IF(G$2&lt;&gt;"",$C7*'Inputs&amp;Assumptions'!$B27,"")</f>
        <v>46.68</v>
      </c>
      <c r="H7" s="55">
        <f>IF(H$2&lt;&gt;"",$C7*'Inputs&amp;Assumptions'!$B27,"")</f>
        <v>46.68</v>
      </c>
      <c r="I7" s="55">
        <f>IF(I$2&lt;&gt;"",$C7*'Inputs&amp;Assumptions'!$B27,"")</f>
        <v>46.68</v>
      </c>
      <c r="J7" s="53" t="str">
        <f>IF(J$2&lt;&gt;"",$C7*'Inputs&amp;Assumptions'!$B27,"")</f>
        <v/>
      </c>
      <c r="K7" s="53" t="str">
        <f>IF(K$2&lt;&gt;"",$C7*'Inputs&amp;Assumptions'!$B27,"")</f>
        <v/>
      </c>
      <c r="L7" s="53" t="str">
        <f>IF(L$2&lt;&gt;"",$C7*'Inputs&amp;Assumptions'!$B27,"")</f>
        <v/>
      </c>
      <c r="M7" s="53" t="str">
        <f>IF(M$2&lt;&gt;"",$C7*'Inputs&amp;Assumptions'!$B27,"")</f>
        <v/>
      </c>
      <c r="N7" s="53" t="str">
        <f>IF(N$2&lt;&gt;"",$C7*'Inputs&amp;Assumptions'!$B27,"")</f>
        <v/>
      </c>
    </row>
    <row r="8" spans="1:14" x14ac:dyDescent="0.25">
      <c r="A8" t="s">
        <v>33</v>
      </c>
      <c r="B8" s="11" t="s">
        <v>36</v>
      </c>
      <c r="C8" s="52">
        <v>1.2E-2</v>
      </c>
      <c r="D8" s="54">
        <f t="shared" si="0"/>
        <v>997.92000000000007</v>
      </c>
      <c r="E8" s="55">
        <f>IF(E$2&lt;&gt;"",$C8*'Inputs&amp;Assumptions'!$B28,"")</f>
        <v>199.584</v>
      </c>
      <c r="F8" s="55">
        <f>IF(F$2&lt;&gt;"",$C8*'Inputs&amp;Assumptions'!$B28,"")</f>
        <v>199.584</v>
      </c>
      <c r="G8" s="55">
        <f>IF(G$2&lt;&gt;"",$C8*'Inputs&amp;Assumptions'!$B28,"")</f>
        <v>199.584</v>
      </c>
      <c r="H8" s="55">
        <f>IF(H$2&lt;&gt;"",$C8*'Inputs&amp;Assumptions'!$B28,"")</f>
        <v>199.584</v>
      </c>
      <c r="I8" s="55">
        <f>IF(I$2&lt;&gt;"",$C8*'Inputs&amp;Assumptions'!$B28,"")</f>
        <v>199.584</v>
      </c>
      <c r="J8" s="53" t="str">
        <f>IF(J$2&lt;&gt;"",$C8*'Inputs&amp;Assumptions'!$B28,"")</f>
        <v/>
      </c>
      <c r="K8" s="53" t="str">
        <f>IF(K$2&lt;&gt;"",$C8*'Inputs&amp;Assumptions'!$B28,"")</f>
        <v/>
      </c>
      <c r="L8" s="53" t="str">
        <f>IF(L$2&lt;&gt;"",$C8*'Inputs&amp;Assumptions'!$B28,"")</f>
        <v/>
      </c>
      <c r="M8" s="53" t="str">
        <f>IF(M$2&lt;&gt;"",$C8*'Inputs&amp;Assumptions'!$B28,"")</f>
        <v/>
      </c>
      <c r="N8" s="53" t="str">
        <f>IF(N$2&lt;&gt;"",$C8*'Inputs&amp;Assumptions'!$B28,"")</f>
        <v/>
      </c>
    </row>
    <row r="9" spans="1:14" x14ac:dyDescent="0.25">
      <c r="A9" s="14" t="s">
        <v>40</v>
      </c>
      <c r="B9" s="15" t="s">
        <v>38</v>
      </c>
      <c r="C9" s="15"/>
      <c r="D9" s="56">
        <f>SUM(D3:D8)</f>
        <v>6281.9699999999993</v>
      </c>
      <c r="E9" s="55">
        <f>IF(E2&lt;&gt;"",SUM(E3:E8),"")</f>
        <v>1256.394</v>
      </c>
      <c r="F9" s="55">
        <f t="shared" ref="F9:N9" si="1">IF(F2&lt;&gt;"",SUM(F3:F8),"")</f>
        <v>1256.394</v>
      </c>
      <c r="G9" s="55">
        <f t="shared" si="1"/>
        <v>1256.394</v>
      </c>
      <c r="H9" s="55">
        <f t="shared" si="1"/>
        <v>1256.394</v>
      </c>
      <c r="I9" s="55">
        <f t="shared" si="1"/>
        <v>1256.394</v>
      </c>
      <c r="J9" s="6" t="str">
        <f t="shared" si="1"/>
        <v/>
      </c>
      <c r="K9" s="6" t="str">
        <f t="shared" si="1"/>
        <v/>
      </c>
      <c r="L9" s="6" t="str">
        <f t="shared" si="1"/>
        <v/>
      </c>
      <c r="M9" s="6" t="str">
        <f t="shared" si="1"/>
        <v/>
      </c>
      <c r="N9" s="6" t="str">
        <f t="shared" si="1"/>
        <v/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4"/>
  <sheetViews>
    <sheetView zoomScaleNormal="100" workbookViewId="0">
      <selection activeCell="D5" sqref="D5"/>
    </sheetView>
  </sheetViews>
  <sheetFormatPr defaultRowHeight="15" x14ac:dyDescent="0.25"/>
  <cols>
    <col min="1" max="1" width="42" customWidth="1"/>
    <col min="2" max="2" width="13.85546875" customWidth="1"/>
    <col min="3" max="3" width="10.28515625" customWidth="1"/>
    <col min="4" max="4" width="11.85546875" customWidth="1"/>
    <col min="5" max="5" width="12.140625" customWidth="1"/>
    <col min="6" max="6" width="12.85546875" customWidth="1"/>
    <col min="7" max="7" width="12.7109375" customWidth="1"/>
    <col min="8" max="8" width="14.7109375" customWidth="1"/>
    <col min="9" max="9" width="21.7109375" customWidth="1"/>
  </cols>
  <sheetData>
    <row r="1" spans="1:9" ht="18.75" x14ac:dyDescent="0.3">
      <c r="A1" s="10" t="s">
        <v>87</v>
      </c>
      <c r="B1" s="9"/>
      <c r="C1" s="9"/>
      <c r="D1" s="9"/>
    </row>
    <row r="3" spans="1:9" x14ac:dyDescent="0.25">
      <c r="A3" s="26" t="s">
        <v>88</v>
      </c>
      <c r="B3" s="9"/>
      <c r="C3" s="9"/>
      <c r="D3" s="9"/>
    </row>
    <row r="4" spans="1:9" ht="60" x14ac:dyDescent="0.25">
      <c r="A4" s="84" t="s">
        <v>44</v>
      </c>
      <c r="B4" s="84" t="s">
        <v>34</v>
      </c>
      <c r="C4" s="51" t="s">
        <v>89</v>
      </c>
      <c r="D4" s="51" t="s">
        <v>135</v>
      </c>
      <c r="E4" s="51" t="s">
        <v>152</v>
      </c>
      <c r="F4" s="51" t="s">
        <v>136</v>
      </c>
      <c r="G4" s="51" t="s">
        <v>153</v>
      </c>
      <c r="H4" s="84" t="s">
        <v>45</v>
      </c>
    </row>
    <row r="5" spans="1:9" x14ac:dyDescent="0.25">
      <c r="A5" s="23" t="s">
        <v>101</v>
      </c>
      <c r="B5" s="85" t="s">
        <v>185</v>
      </c>
      <c r="C5" s="43">
        <v>150</v>
      </c>
      <c r="D5" s="28">
        <f>Deploy_schedule!$D$9*'Inputs&amp;Assumptions'!$E$15</f>
        <v>6281.9699999999993</v>
      </c>
      <c r="E5" s="28">
        <f>D5*'Inputs&amp;Assumptions'!$E$16</f>
        <v>3769.1819999999993</v>
      </c>
      <c r="F5" s="27">
        <f>D5*$C5</f>
        <v>942295.49999999988</v>
      </c>
      <c r="G5" s="27">
        <f>E5*$C5</f>
        <v>565377.29999999993</v>
      </c>
      <c r="H5" t="s">
        <v>203</v>
      </c>
    </row>
    <row r="6" spans="1:9" x14ac:dyDescent="0.25">
      <c r="A6" s="23" t="s">
        <v>99</v>
      </c>
      <c r="B6" s="85" t="s">
        <v>185</v>
      </c>
      <c r="C6" s="43">
        <v>0</v>
      </c>
      <c r="D6" s="28">
        <v>0</v>
      </c>
      <c r="E6" s="28">
        <v>0</v>
      </c>
      <c r="F6" s="27">
        <f t="shared" ref="F6:G7" si="0">D6*$C6</f>
        <v>0</v>
      </c>
      <c r="G6" s="27">
        <f t="shared" si="0"/>
        <v>0</v>
      </c>
    </row>
    <row r="7" spans="1:9" x14ac:dyDescent="0.25">
      <c r="A7" s="23" t="s">
        <v>100</v>
      </c>
      <c r="B7" s="85" t="s">
        <v>185</v>
      </c>
      <c r="C7" s="43">
        <v>0</v>
      </c>
      <c r="D7" s="28">
        <v>0</v>
      </c>
      <c r="E7" s="28">
        <v>0</v>
      </c>
      <c r="F7" s="27">
        <f t="shared" si="0"/>
        <v>0</v>
      </c>
      <c r="G7" s="27">
        <f t="shared" si="0"/>
        <v>0</v>
      </c>
    </row>
    <row r="8" spans="1:9" x14ac:dyDescent="0.25">
      <c r="A8" s="6" t="s">
        <v>91</v>
      </c>
      <c r="F8" s="44">
        <f>SUM(F5:F7)</f>
        <v>942295.49999999988</v>
      </c>
      <c r="G8" s="44">
        <f>SUM(G5:G7)</f>
        <v>565377.29999999993</v>
      </c>
    </row>
    <row r="11" spans="1:9" x14ac:dyDescent="0.25">
      <c r="A11" s="26" t="s">
        <v>92</v>
      </c>
      <c r="B11" s="9"/>
      <c r="C11" s="9"/>
      <c r="D11" s="9"/>
    </row>
    <row r="12" spans="1:9" ht="45" x14ac:dyDescent="0.25">
      <c r="A12" s="84" t="s">
        <v>93</v>
      </c>
      <c r="B12" s="84" t="s">
        <v>34</v>
      </c>
      <c r="C12" s="51" t="s">
        <v>137</v>
      </c>
      <c r="D12" s="51" t="s">
        <v>154</v>
      </c>
      <c r="E12" s="51" t="s">
        <v>138</v>
      </c>
      <c r="F12" s="51" t="s">
        <v>155</v>
      </c>
      <c r="G12" s="51" t="s">
        <v>136</v>
      </c>
      <c r="H12" s="51" t="s">
        <v>153</v>
      </c>
      <c r="I12" s="84" t="s">
        <v>45</v>
      </c>
    </row>
    <row r="13" spans="1:9" x14ac:dyDescent="0.25">
      <c r="A13" s="23" t="s">
        <v>94</v>
      </c>
      <c r="B13" s="85" t="s">
        <v>95</v>
      </c>
      <c r="C13" s="43">
        <v>0</v>
      </c>
      <c r="D13" s="43">
        <v>0</v>
      </c>
      <c r="E13" s="28">
        <v>0</v>
      </c>
      <c r="F13" s="28">
        <v>0</v>
      </c>
      <c r="G13" s="27">
        <f>E13*C13</f>
        <v>0</v>
      </c>
      <c r="H13" s="27">
        <f>F13*D13</f>
        <v>0</v>
      </c>
    </row>
    <row r="14" spans="1:9" x14ac:dyDescent="0.25">
      <c r="A14" s="23" t="s">
        <v>96</v>
      </c>
      <c r="B14" s="85" t="s">
        <v>95</v>
      </c>
      <c r="C14" s="43">
        <v>0</v>
      </c>
      <c r="D14" s="43">
        <v>0</v>
      </c>
      <c r="E14" s="28">
        <v>0</v>
      </c>
      <c r="F14" s="28">
        <v>0</v>
      </c>
      <c r="G14" s="27">
        <f t="shared" ref="G14:H16" si="1">E14*C14</f>
        <v>0</v>
      </c>
      <c r="H14" s="27">
        <f t="shared" si="1"/>
        <v>0</v>
      </c>
    </row>
    <row r="15" spans="1:9" x14ac:dyDescent="0.25">
      <c r="A15" s="23" t="s">
        <v>97</v>
      </c>
      <c r="B15" s="85" t="s">
        <v>95</v>
      </c>
      <c r="C15" s="43">
        <v>0</v>
      </c>
      <c r="D15" s="43">
        <v>0</v>
      </c>
      <c r="E15" s="28">
        <v>0</v>
      </c>
      <c r="F15" s="28">
        <v>0</v>
      </c>
      <c r="G15" s="27">
        <f t="shared" si="1"/>
        <v>0</v>
      </c>
      <c r="H15" s="27">
        <f t="shared" si="1"/>
        <v>0</v>
      </c>
    </row>
    <row r="16" spans="1:9" x14ac:dyDescent="0.25">
      <c r="A16" s="23" t="s">
        <v>98</v>
      </c>
      <c r="B16" s="85" t="s">
        <v>95</v>
      </c>
      <c r="C16" s="43">
        <v>0</v>
      </c>
      <c r="D16" s="43">
        <v>0</v>
      </c>
      <c r="E16" s="28">
        <v>0</v>
      </c>
      <c r="F16" s="28">
        <v>0</v>
      </c>
      <c r="G16" s="27">
        <f t="shared" si="1"/>
        <v>0</v>
      </c>
      <c r="H16" s="27">
        <f t="shared" si="1"/>
        <v>0</v>
      </c>
    </row>
    <row r="17" spans="1:8" x14ac:dyDescent="0.25">
      <c r="A17" s="6" t="s">
        <v>91</v>
      </c>
      <c r="G17" s="44">
        <f>SUM(G13:G16)</f>
        <v>0</v>
      </c>
      <c r="H17" s="44">
        <f>SUM(H13:H16)</f>
        <v>0</v>
      </c>
    </row>
    <row r="20" spans="1:8" x14ac:dyDescent="0.25">
      <c r="A20" t="s">
        <v>139</v>
      </c>
      <c r="B20" s="16">
        <f>F8+G17</f>
        <v>942295.49999999988</v>
      </c>
    </row>
    <row r="21" spans="1:8" x14ac:dyDescent="0.25">
      <c r="A21" t="s">
        <v>156</v>
      </c>
      <c r="B21" s="16">
        <f>G8+H17</f>
        <v>565377.29999999993</v>
      </c>
    </row>
    <row r="22" spans="1:8" x14ac:dyDescent="0.25">
      <c r="A22" t="str">
        <f>"Total Benefits " &amp; "(for "&amp;General!$B$11&amp;" years)"</f>
        <v>Total Benefits (for 5 years)</v>
      </c>
      <c r="B22" s="41">
        <f>B20-B21</f>
        <v>376918.19999999995</v>
      </c>
      <c r="C22" t="s">
        <v>177</v>
      </c>
    </row>
    <row r="24" spans="1:8" x14ac:dyDescent="0.25">
      <c r="A24" s="60" t="str">
        <f>IF(B22=0,"This sheet is not applicable to " &amp; General!$B$3 &amp; " Project","")</f>
        <v/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4"/>
  <sheetViews>
    <sheetView workbookViewId="0">
      <selection activeCell="B12" sqref="B12"/>
    </sheetView>
  </sheetViews>
  <sheetFormatPr defaultRowHeight="15" x14ac:dyDescent="0.25"/>
  <cols>
    <col min="1" max="1" width="45.28515625" customWidth="1"/>
    <col min="2" max="2" width="13.85546875" customWidth="1"/>
    <col min="3" max="3" width="10.42578125" customWidth="1"/>
    <col min="4" max="4" width="13" customWidth="1"/>
    <col min="5" max="5" width="12.28515625" customWidth="1"/>
    <col min="6" max="6" width="12.42578125" customWidth="1"/>
    <col min="7" max="7" width="13.5703125" customWidth="1"/>
    <col min="8" max="8" width="12.85546875" customWidth="1"/>
    <col min="9" max="9" width="16.42578125" customWidth="1"/>
  </cols>
  <sheetData>
    <row r="1" spans="1:9" ht="18.75" x14ac:dyDescent="0.3">
      <c r="A1" s="10" t="s">
        <v>105</v>
      </c>
      <c r="B1" s="9"/>
      <c r="C1" s="9"/>
      <c r="D1" s="9"/>
    </row>
    <row r="3" spans="1:9" x14ac:dyDescent="0.25">
      <c r="A3" s="26" t="s">
        <v>88</v>
      </c>
      <c r="B3" s="9"/>
      <c r="C3" s="9"/>
      <c r="D3" s="9"/>
    </row>
    <row r="4" spans="1:9" ht="45" x14ac:dyDescent="0.25">
      <c r="A4" s="84" t="s">
        <v>44</v>
      </c>
      <c r="B4" s="84" t="s">
        <v>34</v>
      </c>
      <c r="C4" s="51" t="s">
        <v>89</v>
      </c>
      <c r="D4" s="51" t="s">
        <v>135</v>
      </c>
      <c r="E4" s="51" t="s">
        <v>152</v>
      </c>
      <c r="F4" s="51" t="s">
        <v>136</v>
      </c>
      <c r="G4" s="51" t="s">
        <v>153</v>
      </c>
      <c r="H4" s="84" t="s">
        <v>45</v>
      </c>
    </row>
    <row r="5" spans="1:9" x14ac:dyDescent="0.25">
      <c r="A5" s="23" t="s">
        <v>107</v>
      </c>
      <c r="B5" s="85" t="s">
        <v>185</v>
      </c>
      <c r="C5" s="43">
        <v>100</v>
      </c>
      <c r="D5" s="28">
        <f>Deploy_schedule!$D$9*'Inputs&amp;Assumptions'!E17</f>
        <v>100511.51999999999</v>
      </c>
      <c r="E5" s="28">
        <f>Deploy_schedule!$D$9*'Inputs&amp;Assumptions'!$E$18</f>
        <v>75383.639999999985</v>
      </c>
      <c r="F5" s="27">
        <f>D5*$C5</f>
        <v>10051151.999999998</v>
      </c>
      <c r="G5" s="27">
        <f>E5*$C5</f>
        <v>7538363.9999999981</v>
      </c>
      <c r="H5" t="s">
        <v>204</v>
      </c>
    </row>
    <row r="6" spans="1:9" x14ac:dyDescent="0.25">
      <c r="A6" s="23" t="s">
        <v>90</v>
      </c>
      <c r="B6" s="85" t="s">
        <v>185</v>
      </c>
      <c r="C6" s="43">
        <v>0</v>
      </c>
      <c r="D6" s="28">
        <v>0</v>
      </c>
      <c r="E6" s="28">
        <v>0</v>
      </c>
      <c r="F6" s="27">
        <f t="shared" ref="F6:G7" si="0">D6*$C6</f>
        <v>0</v>
      </c>
      <c r="G6" s="27">
        <f t="shared" si="0"/>
        <v>0</v>
      </c>
    </row>
    <row r="7" spans="1:9" x14ac:dyDescent="0.25">
      <c r="A7" s="23" t="s">
        <v>90</v>
      </c>
      <c r="B7" s="85" t="s">
        <v>185</v>
      </c>
      <c r="C7" s="43">
        <v>0</v>
      </c>
      <c r="D7" s="28">
        <v>0</v>
      </c>
      <c r="E7" s="28">
        <v>0</v>
      </c>
      <c r="F7" s="27">
        <f t="shared" si="0"/>
        <v>0</v>
      </c>
      <c r="G7" s="27">
        <f t="shared" si="0"/>
        <v>0</v>
      </c>
    </row>
    <row r="8" spans="1:9" x14ac:dyDescent="0.25">
      <c r="A8" s="6" t="s">
        <v>91</v>
      </c>
      <c r="F8" s="44">
        <f>SUM(F5:F7)</f>
        <v>10051151.999999998</v>
      </c>
      <c r="G8" s="44">
        <f>SUM(G5:G7)</f>
        <v>7538363.9999999981</v>
      </c>
    </row>
    <row r="11" spans="1:9" x14ac:dyDescent="0.25">
      <c r="A11" s="26" t="s">
        <v>106</v>
      </c>
      <c r="B11" s="9"/>
      <c r="C11" s="9"/>
      <c r="D11" s="9"/>
    </row>
    <row r="12" spans="1:9" ht="45" x14ac:dyDescent="0.25">
      <c r="A12" s="84" t="s">
        <v>93</v>
      </c>
      <c r="B12" s="84" t="s">
        <v>34</v>
      </c>
      <c r="C12" s="51" t="s">
        <v>137</v>
      </c>
      <c r="D12" s="51" t="s">
        <v>154</v>
      </c>
      <c r="E12" s="51" t="s">
        <v>138</v>
      </c>
      <c r="F12" s="51" t="s">
        <v>155</v>
      </c>
      <c r="G12" s="51" t="s">
        <v>136</v>
      </c>
      <c r="H12" s="51" t="s">
        <v>153</v>
      </c>
      <c r="I12" s="84" t="s">
        <v>45</v>
      </c>
    </row>
    <row r="13" spans="1:9" x14ac:dyDescent="0.25">
      <c r="A13" s="23" t="s">
        <v>108</v>
      </c>
      <c r="B13" s="85" t="s">
        <v>109</v>
      </c>
      <c r="C13" s="45">
        <v>2450</v>
      </c>
      <c r="D13" s="45">
        <v>3000</v>
      </c>
      <c r="E13" s="28">
        <f>Deploy_schedule!$D$9</f>
        <v>6281.9699999999993</v>
      </c>
      <c r="F13" s="28">
        <f>E13</f>
        <v>6281.9699999999993</v>
      </c>
      <c r="G13" s="27">
        <f>E13*C13</f>
        <v>15390826.499999998</v>
      </c>
      <c r="H13" s="27">
        <f>F13*D13</f>
        <v>18845909.999999996</v>
      </c>
      <c r="I13" t="s">
        <v>205</v>
      </c>
    </row>
    <row r="14" spans="1:9" x14ac:dyDescent="0.25">
      <c r="A14" s="23" t="s">
        <v>79</v>
      </c>
      <c r="B14" s="85" t="s">
        <v>95</v>
      </c>
      <c r="C14" s="43">
        <v>0</v>
      </c>
      <c r="D14" s="43">
        <v>0</v>
      </c>
      <c r="E14" s="28">
        <v>0</v>
      </c>
      <c r="F14" s="28">
        <v>0</v>
      </c>
      <c r="G14" s="27">
        <f t="shared" ref="G14:H16" si="1">E14*C14</f>
        <v>0</v>
      </c>
      <c r="H14" s="27">
        <f t="shared" si="1"/>
        <v>0</v>
      </c>
    </row>
    <row r="15" spans="1:9" x14ac:dyDescent="0.25">
      <c r="A15" s="23" t="s">
        <v>80</v>
      </c>
      <c r="B15" s="85" t="s">
        <v>95</v>
      </c>
      <c r="C15" s="43">
        <v>0</v>
      </c>
      <c r="D15" s="43">
        <v>0</v>
      </c>
      <c r="E15" s="28">
        <v>0</v>
      </c>
      <c r="F15" s="28">
        <v>0</v>
      </c>
      <c r="G15" s="27">
        <f t="shared" si="1"/>
        <v>0</v>
      </c>
      <c r="H15" s="27">
        <f t="shared" si="1"/>
        <v>0</v>
      </c>
    </row>
    <row r="16" spans="1:9" x14ac:dyDescent="0.25">
      <c r="A16" s="23" t="s">
        <v>81</v>
      </c>
      <c r="B16" s="85" t="s">
        <v>95</v>
      </c>
      <c r="C16" s="43">
        <v>0</v>
      </c>
      <c r="D16" s="43">
        <v>0</v>
      </c>
      <c r="E16" s="28">
        <v>0</v>
      </c>
      <c r="F16" s="28">
        <v>0</v>
      </c>
      <c r="G16" s="27">
        <f t="shared" si="1"/>
        <v>0</v>
      </c>
      <c r="H16" s="27">
        <f t="shared" si="1"/>
        <v>0</v>
      </c>
    </row>
    <row r="17" spans="1:8" x14ac:dyDescent="0.25">
      <c r="A17" s="6" t="s">
        <v>91</v>
      </c>
      <c r="G17" s="44">
        <f>SUM(G13:G16)</f>
        <v>15390826.499999998</v>
      </c>
      <c r="H17" s="44">
        <f>SUM(H13:H16)</f>
        <v>18845909.999999996</v>
      </c>
    </row>
    <row r="20" spans="1:8" x14ac:dyDescent="0.25">
      <c r="A20" t="s">
        <v>142</v>
      </c>
      <c r="B20" s="16">
        <f>F8+G17</f>
        <v>25441978.499999996</v>
      </c>
    </row>
    <row r="21" spans="1:8" x14ac:dyDescent="0.25">
      <c r="A21" t="s">
        <v>157</v>
      </c>
      <c r="B21" s="16">
        <f>G8+H17</f>
        <v>26384273.999999993</v>
      </c>
    </row>
    <row r="22" spans="1:8" x14ac:dyDescent="0.25">
      <c r="A22" t="str">
        <f>"Total Benefits " &amp; "(for "&amp;General!$B$11&amp;" years)"</f>
        <v>Total Benefits (for 5 years)</v>
      </c>
      <c r="B22" s="41">
        <f>B20-B21</f>
        <v>-942295.49999999627</v>
      </c>
      <c r="C22" t="s">
        <v>177</v>
      </c>
    </row>
    <row r="24" spans="1:8" x14ac:dyDescent="0.25">
      <c r="A24" s="60" t="str">
        <f>IF(B22=0,"This sheet is not applicable to " &amp; General!$B$3 &amp; " Project","")</f>
        <v/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5"/>
  <sheetViews>
    <sheetView workbookViewId="0">
      <selection activeCell="A14" sqref="A14"/>
    </sheetView>
  </sheetViews>
  <sheetFormatPr defaultRowHeight="15" x14ac:dyDescent="0.25"/>
  <cols>
    <col min="1" max="1" width="53.42578125" customWidth="1"/>
    <col min="2" max="2" width="15" customWidth="1"/>
    <col min="3" max="3" width="11.5703125" customWidth="1"/>
    <col min="4" max="4" width="12.7109375" customWidth="1"/>
    <col min="5" max="5" width="12.85546875" customWidth="1"/>
    <col min="6" max="6" width="12.42578125" customWidth="1"/>
    <col min="7" max="7" width="16.42578125" customWidth="1"/>
    <col min="8" max="8" width="13.5703125" customWidth="1"/>
    <col min="9" max="9" width="16.42578125" customWidth="1"/>
  </cols>
  <sheetData>
    <row r="1" spans="1:9" ht="18.75" x14ac:dyDescent="0.3">
      <c r="A1" s="10" t="s">
        <v>110</v>
      </c>
      <c r="B1" s="9"/>
      <c r="C1" s="9"/>
      <c r="D1" s="9"/>
    </row>
    <row r="3" spans="1:9" x14ac:dyDescent="0.25">
      <c r="A3" s="26" t="s">
        <v>88</v>
      </c>
      <c r="B3" s="9"/>
      <c r="C3" s="9"/>
      <c r="D3" s="9"/>
    </row>
    <row r="4" spans="1:9" ht="45" x14ac:dyDescent="0.25">
      <c r="A4" s="84" t="s">
        <v>44</v>
      </c>
      <c r="B4" s="84" t="s">
        <v>34</v>
      </c>
      <c r="C4" s="51" t="s">
        <v>89</v>
      </c>
      <c r="D4" s="51" t="s">
        <v>135</v>
      </c>
      <c r="E4" s="51" t="s">
        <v>152</v>
      </c>
      <c r="F4" s="51" t="s">
        <v>136</v>
      </c>
      <c r="G4" s="51" t="s">
        <v>153</v>
      </c>
      <c r="H4" s="84" t="s">
        <v>45</v>
      </c>
    </row>
    <row r="5" spans="1:9" x14ac:dyDescent="0.25">
      <c r="A5" s="23" t="s">
        <v>90</v>
      </c>
      <c r="B5" s="85" t="s">
        <v>185</v>
      </c>
      <c r="C5" s="43">
        <v>0</v>
      </c>
      <c r="D5" s="28">
        <v>0</v>
      </c>
      <c r="E5" s="28">
        <v>0</v>
      </c>
      <c r="F5" s="27">
        <f>D5*$C5</f>
        <v>0</v>
      </c>
      <c r="G5" s="27">
        <f>E5*$C5</f>
        <v>0</v>
      </c>
    </row>
    <row r="6" spans="1:9" x14ac:dyDescent="0.25">
      <c r="A6" s="23" t="s">
        <v>90</v>
      </c>
      <c r="B6" s="85" t="s">
        <v>185</v>
      </c>
      <c r="C6" s="43">
        <v>0</v>
      </c>
      <c r="D6" s="28">
        <v>0</v>
      </c>
      <c r="E6" s="28">
        <v>0</v>
      </c>
      <c r="F6" s="27">
        <f t="shared" ref="F6:G7" si="0">D6*$C6</f>
        <v>0</v>
      </c>
      <c r="G6" s="27">
        <f t="shared" si="0"/>
        <v>0</v>
      </c>
    </row>
    <row r="7" spans="1:9" x14ac:dyDescent="0.25">
      <c r="A7" s="23" t="s">
        <v>90</v>
      </c>
      <c r="B7" s="85" t="s">
        <v>185</v>
      </c>
      <c r="C7" s="43">
        <v>0</v>
      </c>
      <c r="D7" s="28">
        <v>0</v>
      </c>
      <c r="E7" s="28">
        <v>0</v>
      </c>
      <c r="F7" s="27">
        <f t="shared" si="0"/>
        <v>0</v>
      </c>
      <c r="G7" s="27">
        <f t="shared" si="0"/>
        <v>0</v>
      </c>
    </row>
    <row r="8" spans="1:9" x14ac:dyDescent="0.25">
      <c r="A8" s="6" t="s">
        <v>91</v>
      </c>
      <c r="F8" s="44">
        <f>SUM(F5:F7)</f>
        <v>0</v>
      </c>
      <c r="G8" s="44">
        <f>SUM(G5:G7)</f>
        <v>0</v>
      </c>
    </row>
    <row r="11" spans="1:9" x14ac:dyDescent="0.25">
      <c r="A11" s="26" t="s">
        <v>106</v>
      </c>
      <c r="B11" s="9"/>
      <c r="C11" s="9"/>
      <c r="D11" s="9"/>
    </row>
    <row r="12" spans="1:9" ht="45" x14ac:dyDescent="0.25">
      <c r="A12" s="84" t="s">
        <v>93</v>
      </c>
      <c r="B12" s="84" t="s">
        <v>34</v>
      </c>
      <c r="C12" s="51" t="s">
        <v>137</v>
      </c>
      <c r="D12" s="51" t="s">
        <v>154</v>
      </c>
      <c r="E12" s="51" t="s">
        <v>138</v>
      </c>
      <c r="F12" s="51" t="s">
        <v>155</v>
      </c>
      <c r="G12" s="51" t="s">
        <v>136</v>
      </c>
      <c r="H12" s="51" t="s">
        <v>153</v>
      </c>
      <c r="I12" s="84" t="s">
        <v>45</v>
      </c>
    </row>
    <row r="13" spans="1:9" x14ac:dyDescent="0.25">
      <c r="A13" s="23" t="s">
        <v>43</v>
      </c>
      <c r="B13" s="85" t="s">
        <v>112</v>
      </c>
      <c r="C13" s="37">
        <v>1000</v>
      </c>
      <c r="D13" s="45">
        <f>C13</f>
        <v>1000</v>
      </c>
      <c r="E13" s="28">
        <f>'Inputs&amp;Assumptions'!$C$29</f>
        <v>1256.394</v>
      </c>
      <c r="F13" s="28">
        <f>'Inputs&amp;Assumptions'!$E$29</f>
        <v>251.27879999999996</v>
      </c>
      <c r="G13" s="27">
        <f>E13*C13</f>
        <v>1256394</v>
      </c>
      <c r="H13" s="27">
        <f>F13*D13</f>
        <v>251278.79999999996</v>
      </c>
      <c r="I13" t="s">
        <v>206</v>
      </c>
    </row>
    <row r="14" spans="1:9" x14ac:dyDescent="0.25">
      <c r="A14" s="23" t="s">
        <v>195</v>
      </c>
      <c r="B14" s="85" t="s">
        <v>112</v>
      </c>
      <c r="C14" s="37">
        <v>25000</v>
      </c>
      <c r="D14" s="45">
        <f>C14</f>
        <v>25000</v>
      </c>
      <c r="E14" s="28">
        <f>'Inputs&amp;Assumptions'!$D$29</f>
        <v>125</v>
      </c>
      <c r="F14" s="28">
        <f>'Inputs&amp;Assumptions'!$F$29</f>
        <v>25.127879999999994</v>
      </c>
      <c r="G14" s="27">
        <f t="shared" ref="G14:H16" si="1">E14*C14</f>
        <v>3125000</v>
      </c>
      <c r="H14" s="27">
        <f t="shared" si="1"/>
        <v>628196.99999999988</v>
      </c>
      <c r="I14" t="s">
        <v>207</v>
      </c>
    </row>
    <row r="15" spans="1:9" x14ac:dyDescent="0.25">
      <c r="A15" s="23" t="s">
        <v>80</v>
      </c>
      <c r="B15" s="85" t="s">
        <v>95</v>
      </c>
      <c r="C15" s="43">
        <v>0</v>
      </c>
      <c r="D15" s="43">
        <v>0</v>
      </c>
      <c r="E15" s="28">
        <v>0</v>
      </c>
      <c r="F15" s="28">
        <v>0</v>
      </c>
      <c r="G15" s="27">
        <f t="shared" si="1"/>
        <v>0</v>
      </c>
      <c r="H15" s="27">
        <f t="shared" si="1"/>
        <v>0</v>
      </c>
    </row>
    <row r="16" spans="1:9" x14ac:dyDescent="0.25">
      <c r="A16" s="23" t="s">
        <v>81</v>
      </c>
      <c r="B16" s="85" t="s">
        <v>95</v>
      </c>
      <c r="C16" s="43">
        <v>0</v>
      </c>
      <c r="D16" s="43">
        <v>0</v>
      </c>
      <c r="E16" s="28">
        <v>0</v>
      </c>
      <c r="F16" s="28">
        <v>0</v>
      </c>
      <c r="G16" s="27">
        <f t="shared" si="1"/>
        <v>0</v>
      </c>
      <c r="H16" s="27">
        <f t="shared" si="1"/>
        <v>0</v>
      </c>
    </row>
    <row r="17" spans="1:8" x14ac:dyDescent="0.25">
      <c r="A17" s="6" t="s">
        <v>91</v>
      </c>
      <c r="G17" s="44">
        <f>SUM(G13:G16)</f>
        <v>4381394</v>
      </c>
      <c r="H17" s="44">
        <f>SUM(H13:H16)</f>
        <v>879475.79999999981</v>
      </c>
    </row>
    <row r="20" spans="1:8" x14ac:dyDescent="0.25">
      <c r="A20" t="s">
        <v>143</v>
      </c>
      <c r="B20" s="16">
        <f>F8+G17</f>
        <v>4381394</v>
      </c>
    </row>
    <row r="21" spans="1:8" x14ac:dyDescent="0.25">
      <c r="A21" t="s">
        <v>158</v>
      </c>
      <c r="B21" s="16">
        <f>G8+H17</f>
        <v>879475.79999999981</v>
      </c>
    </row>
    <row r="22" spans="1:8" x14ac:dyDescent="0.25">
      <c r="A22" t="s">
        <v>111</v>
      </c>
      <c r="B22" s="41">
        <f>B20-B21</f>
        <v>3501918.2</v>
      </c>
    </row>
    <row r="23" spans="1:8" x14ac:dyDescent="0.25">
      <c r="A23" t="str">
        <f>"Total Benefits " &amp; "(for "&amp;General!$B$11&amp;" years)"</f>
        <v>Total Benefits (for 5 years)</v>
      </c>
      <c r="B23" s="41">
        <f>B22*General!$B$11</f>
        <v>17509591</v>
      </c>
    </row>
    <row r="25" spans="1:8" x14ac:dyDescent="0.25">
      <c r="A25" s="60" t="str">
        <f>IF(B23=0,"This sheet is not applicable to " &amp; General!$B$3 &amp; " Project","")</f>
        <v/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23"/>
  <sheetViews>
    <sheetView workbookViewId="0">
      <selection activeCell="B9" sqref="B9"/>
    </sheetView>
  </sheetViews>
  <sheetFormatPr defaultRowHeight="15" x14ac:dyDescent="0.25"/>
  <cols>
    <col min="1" max="1" width="42" customWidth="1"/>
    <col min="2" max="3" width="15" customWidth="1"/>
    <col min="4" max="4" width="13.140625" customWidth="1"/>
    <col min="5" max="5" width="16.42578125" customWidth="1"/>
    <col min="6" max="6" width="16.140625" customWidth="1"/>
    <col min="7" max="7" width="16.42578125" customWidth="1"/>
  </cols>
  <sheetData>
    <row r="1" spans="1:7" ht="18.75" x14ac:dyDescent="0.3">
      <c r="A1" s="10" t="s">
        <v>114</v>
      </c>
      <c r="B1" s="9"/>
      <c r="C1" s="9"/>
      <c r="D1" s="9"/>
    </row>
    <row r="3" spans="1:7" x14ac:dyDescent="0.25">
      <c r="A3" s="26" t="s">
        <v>115</v>
      </c>
      <c r="B3" s="9"/>
      <c r="C3" s="9"/>
      <c r="D3" s="9"/>
    </row>
    <row r="4" spans="1:7" x14ac:dyDescent="0.25">
      <c r="A4" t="s">
        <v>116</v>
      </c>
      <c r="B4" s="28">
        <v>20</v>
      </c>
      <c r="C4" t="s">
        <v>208</v>
      </c>
    </row>
    <row r="5" spans="1:7" x14ac:dyDescent="0.25">
      <c r="A5" t="s">
        <v>117</v>
      </c>
      <c r="B5" s="28">
        <v>50</v>
      </c>
      <c r="C5" t="s">
        <v>208</v>
      </c>
    </row>
    <row r="9" spans="1:7" x14ac:dyDescent="0.25">
      <c r="A9" s="26" t="s">
        <v>118</v>
      </c>
      <c r="B9" s="9"/>
      <c r="C9" s="9"/>
      <c r="D9" s="9"/>
    </row>
    <row r="10" spans="1:7" ht="60" x14ac:dyDescent="0.25">
      <c r="A10" s="84" t="s">
        <v>93</v>
      </c>
      <c r="B10" s="84" t="s">
        <v>34</v>
      </c>
      <c r="C10" s="51" t="s">
        <v>186</v>
      </c>
      <c r="D10" s="51" t="s">
        <v>187</v>
      </c>
      <c r="E10" s="51" t="s">
        <v>188</v>
      </c>
      <c r="F10" s="51" t="s">
        <v>189</v>
      </c>
      <c r="G10" s="1" t="s">
        <v>45</v>
      </c>
    </row>
    <row r="11" spans="1:7" x14ac:dyDescent="0.25">
      <c r="A11" s="23" t="s">
        <v>76</v>
      </c>
      <c r="B11" s="85" t="s">
        <v>95</v>
      </c>
      <c r="C11" s="37">
        <f>'1.Eng&amp;Admin'!B20</f>
        <v>942295.49999999988</v>
      </c>
      <c r="D11" s="37">
        <f>'1.Eng&amp;Admin'!B21</f>
        <v>565377.29999999993</v>
      </c>
      <c r="E11" s="27">
        <f>C11/$B$4</f>
        <v>47114.774999999994</v>
      </c>
      <c r="F11" s="27">
        <f>D11/$B$5</f>
        <v>11307.545999999998</v>
      </c>
      <c r="G11" t="s">
        <v>190</v>
      </c>
    </row>
    <row r="12" spans="1:7" x14ac:dyDescent="0.25">
      <c r="A12" s="23" t="s">
        <v>120</v>
      </c>
      <c r="B12" s="85" t="s">
        <v>95</v>
      </c>
      <c r="C12" s="37">
        <f>'2.Cons&amp;Inst'!B20</f>
        <v>25441978.499999996</v>
      </c>
      <c r="D12" s="37">
        <f>'2.Cons&amp;Inst'!B21</f>
        <v>26384273.999999993</v>
      </c>
      <c r="E12" s="27">
        <f>C12/$B$4</f>
        <v>1272098.9249999998</v>
      </c>
      <c r="F12" s="27">
        <f>D12/$B$5</f>
        <v>527685.47999999986</v>
      </c>
      <c r="G12" t="s">
        <v>191</v>
      </c>
    </row>
    <row r="13" spans="1:7" x14ac:dyDescent="0.25">
      <c r="A13" s="23" t="s">
        <v>80</v>
      </c>
      <c r="B13" s="85" t="s">
        <v>95</v>
      </c>
      <c r="C13" s="37">
        <v>0</v>
      </c>
      <c r="D13" s="43">
        <v>0</v>
      </c>
      <c r="E13" s="27">
        <v>0</v>
      </c>
      <c r="F13" s="27">
        <v>0</v>
      </c>
    </row>
    <row r="14" spans="1:7" x14ac:dyDescent="0.25">
      <c r="A14" s="23" t="s">
        <v>81</v>
      </c>
      <c r="B14" s="85" t="s">
        <v>95</v>
      </c>
      <c r="C14" s="37">
        <v>0</v>
      </c>
      <c r="D14" s="43">
        <v>0</v>
      </c>
      <c r="E14" s="27">
        <v>0</v>
      </c>
      <c r="F14" s="27">
        <v>0</v>
      </c>
    </row>
    <row r="15" spans="1:7" x14ac:dyDescent="0.25">
      <c r="A15" s="6" t="s">
        <v>91</v>
      </c>
      <c r="E15" s="44">
        <f>SUM(E11:E14)</f>
        <v>1319213.6999999997</v>
      </c>
      <c r="F15" s="44">
        <f>SUM(F11:F14)</f>
        <v>538993.02599999984</v>
      </c>
    </row>
    <row r="18" spans="1:2" x14ac:dyDescent="0.25">
      <c r="A18" t="s">
        <v>144</v>
      </c>
      <c r="B18" s="3">
        <f>E15</f>
        <v>1319213.6999999997</v>
      </c>
    </row>
    <row r="19" spans="1:2" x14ac:dyDescent="0.25">
      <c r="A19" t="s">
        <v>159</v>
      </c>
      <c r="B19" s="3">
        <f>F15</f>
        <v>538993.02599999984</v>
      </c>
    </row>
    <row r="20" spans="1:2" x14ac:dyDescent="0.25">
      <c r="A20" t="s">
        <v>111</v>
      </c>
      <c r="B20" s="41">
        <f>B18-B19</f>
        <v>780220.67399999988</v>
      </c>
    </row>
    <row r="21" spans="1:2" x14ac:dyDescent="0.25">
      <c r="A21" t="str">
        <f>"Total Benefits " &amp; "(for "&amp;General!$B$11&amp;" years)"</f>
        <v>Total Benefits (for 5 years)</v>
      </c>
      <c r="B21" s="41">
        <f>B20*General!$B$11</f>
        <v>3901103.3699999992</v>
      </c>
    </row>
    <row r="23" spans="1:2" x14ac:dyDescent="0.25">
      <c r="A23" s="60" t="str">
        <f>IF(B21=0,"This sheet is not applicable to " &amp; General!$B$3 &amp; " Project","")</f>
        <v/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18"/>
  <sheetViews>
    <sheetView workbookViewId="0">
      <selection activeCell="B5" sqref="B5"/>
    </sheetView>
  </sheetViews>
  <sheetFormatPr defaultRowHeight="15" x14ac:dyDescent="0.25"/>
  <cols>
    <col min="1" max="1" width="42" customWidth="1"/>
    <col min="2" max="2" width="15" customWidth="1"/>
    <col min="3" max="3" width="9.140625" customWidth="1"/>
    <col min="4" max="4" width="11.85546875" customWidth="1"/>
    <col min="5" max="5" width="11.140625" customWidth="1"/>
    <col min="6" max="6" width="12" customWidth="1"/>
    <col min="7" max="7" width="16.42578125" customWidth="1"/>
    <col min="8" max="8" width="16.140625" customWidth="1"/>
    <col min="9" max="9" width="16.42578125" customWidth="1"/>
  </cols>
  <sheetData>
    <row r="1" spans="1:9" ht="18.75" x14ac:dyDescent="0.3">
      <c r="A1" s="10" t="s">
        <v>121</v>
      </c>
      <c r="B1" s="9"/>
      <c r="C1" s="9"/>
      <c r="D1" s="9"/>
    </row>
    <row r="4" spans="1:9" x14ac:dyDescent="0.25">
      <c r="A4" s="26" t="s">
        <v>122</v>
      </c>
      <c r="B4" s="9"/>
      <c r="C4" s="9"/>
      <c r="D4" s="9"/>
    </row>
    <row r="5" spans="1:9" ht="60" x14ac:dyDescent="0.25">
      <c r="A5" s="84" t="s">
        <v>123</v>
      </c>
      <c r="B5" s="84" t="s">
        <v>34</v>
      </c>
      <c r="C5" s="51" t="s">
        <v>137</v>
      </c>
      <c r="D5" s="51" t="s">
        <v>154</v>
      </c>
      <c r="E5" s="51" t="s">
        <v>138</v>
      </c>
      <c r="F5" s="51" t="s">
        <v>155</v>
      </c>
      <c r="G5" s="51" t="s">
        <v>136</v>
      </c>
      <c r="H5" s="51" t="s">
        <v>153</v>
      </c>
      <c r="I5" s="84" t="s">
        <v>45</v>
      </c>
    </row>
    <row r="6" spans="1:9" x14ac:dyDescent="0.25">
      <c r="A6" s="23" t="s">
        <v>119</v>
      </c>
      <c r="B6" s="85" t="s">
        <v>95</v>
      </c>
      <c r="C6" s="43">
        <v>0</v>
      </c>
      <c r="D6" s="43">
        <v>0</v>
      </c>
      <c r="E6" s="28">
        <v>0</v>
      </c>
      <c r="F6" s="28">
        <v>0</v>
      </c>
      <c r="G6" s="27">
        <f>E6*C6</f>
        <v>0</v>
      </c>
      <c r="H6" s="27">
        <f>F6*D6</f>
        <v>0</v>
      </c>
    </row>
    <row r="7" spans="1:9" x14ac:dyDescent="0.25">
      <c r="A7" s="23" t="s">
        <v>79</v>
      </c>
      <c r="B7" s="85" t="s">
        <v>95</v>
      </c>
      <c r="C7" s="43">
        <v>0</v>
      </c>
      <c r="D7" s="43">
        <v>0</v>
      </c>
      <c r="E7" s="28">
        <v>0</v>
      </c>
      <c r="F7" s="28">
        <v>0</v>
      </c>
      <c r="G7" s="27">
        <f t="shared" ref="G7:H9" si="0">E7*C7</f>
        <v>0</v>
      </c>
      <c r="H7" s="27">
        <f t="shared" si="0"/>
        <v>0</v>
      </c>
    </row>
    <row r="8" spans="1:9" x14ac:dyDescent="0.25">
      <c r="A8" s="23" t="s">
        <v>80</v>
      </c>
      <c r="B8" s="85" t="s">
        <v>95</v>
      </c>
      <c r="C8" s="43">
        <v>0</v>
      </c>
      <c r="D8" s="43">
        <v>0</v>
      </c>
      <c r="E8" s="28">
        <v>0</v>
      </c>
      <c r="F8" s="28">
        <v>0</v>
      </c>
      <c r="G8" s="27">
        <f t="shared" si="0"/>
        <v>0</v>
      </c>
      <c r="H8" s="27">
        <f t="shared" si="0"/>
        <v>0</v>
      </c>
    </row>
    <row r="9" spans="1:9" x14ac:dyDescent="0.25">
      <c r="A9" s="23" t="s">
        <v>81</v>
      </c>
      <c r="B9" s="85" t="s">
        <v>95</v>
      </c>
      <c r="C9" s="43">
        <v>0</v>
      </c>
      <c r="D9" s="43">
        <v>0</v>
      </c>
      <c r="E9" s="28">
        <v>0</v>
      </c>
      <c r="F9" s="28">
        <v>0</v>
      </c>
      <c r="G9" s="27">
        <f t="shared" si="0"/>
        <v>0</v>
      </c>
      <c r="H9" s="27">
        <f t="shared" si="0"/>
        <v>0</v>
      </c>
    </row>
    <row r="10" spans="1:9" x14ac:dyDescent="0.25">
      <c r="A10" s="6" t="s">
        <v>91</v>
      </c>
      <c r="G10" s="44">
        <f>SUM(G6:G9)</f>
        <v>0</v>
      </c>
      <c r="H10" s="44">
        <f>SUM(H6:H9)</f>
        <v>0</v>
      </c>
    </row>
    <row r="13" spans="1:9" x14ac:dyDescent="0.25">
      <c r="A13" t="s">
        <v>145</v>
      </c>
      <c r="B13" s="16">
        <f>G10</f>
        <v>0</v>
      </c>
    </row>
    <row r="14" spans="1:9" x14ac:dyDescent="0.25">
      <c r="A14" t="s">
        <v>160</v>
      </c>
      <c r="B14" s="16">
        <f>H10</f>
        <v>0</v>
      </c>
    </row>
    <row r="15" spans="1:9" x14ac:dyDescent="0.25">
      <c r="A15" t="s">
        <v>111</v>
      </c>
      <c r="B15" s="41">
        <f>B13-B14</f>
        <v>0</v>
      </c>
    </row>
    <row r="16" spans="1:9" x14ac:dyDescent="0.25">
      <c r="A16" t="str">
        <f>"Total Benefits " &amp; "(for "&amp;General!$B$11&amp;" years)"</f>
        <v>Total Benefits (for 5 years)</v>
      </c>
      <c r="B16" s="41">
        <f>B15*General!$B$11</f>
        <v>0</v>
      </c>
    </row>
    <row r="18" spans="1:1" x14ac:dyDescent="0.25">
      <c r="A18" s="60" t="str">
        <f>IF(B16=0,"This sheet is not applicable to " &amp; General!$B$3 &amp; " Project","")</f>
        <v>This sheet is not applicable to NETC 09-03 Project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General</vt:lpstr>
      <vt:lpstr>Benefit_category</vt:lpstr>
      <vt:lpstr>Inputs&amp;Assumptions</vt:lpstr>
      <vt:lpstr>Deploy_schedule</vt:lpstr>
      <vt:lpstr>1.Eng&amp;Admin</vt:lpstr>
      <vt:lpstr>2.Cons&amp;Inst</vt:lpstr>
      <vt:lpstr>3.Ops&amp;Maint</vt:lpstr>
      <vt:lpstr>4.Lifecycle</vt:lpstr>
      <vt:lpstr>5.Road_users</vt:lpstr>
      <vt:lpstr>6.Safety</vt:lpstr>
      <vt:lpstr>7.Environment</vt:lpstr>
      <vt:lpstr>8.Risk_Mgmt</vt:lpstr>
      <vt:lpstr>9.Others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Le, Thanh</dc:creator>
  <cp:lastModifiedBy>Hannah Ullman</cp:lastModifiedBy>
  <dcterms:created xsi:type="dcterms:W3CDTF">2018-09-25T19:58:43Z</dcterms:created>
  <dcterms:modified xsi:type="dcterms:W3CDTF">2019-02-12T21:14:12Z</dcterms:modified>
</cp:coreProperties>
</file>