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utc\Outreach\NETC\Research_Projects\NETC_17-2\Reports\Final Deliverables - All\"/>
    </mc:Choice>
  </mc:AlternateContent>
  <bookViews>
    <workbookView xWindow="0" yWindow="0" windowWidth="19200" windowHeight="11460"/>
  </bookViews>
  <sheets>
    <sheet name="General" sheetId="3" r:id="rId1"/>
    <sheet name="Benefit_category" sheetId="1" r:id="rId2"/>
    <sheet name="Inputs&amp;Assumptions" sheetId="10" r:id="rId3"/>
    <sheet name="Deploy_schedule" sheetId="4" r:id="rId4"/>
    <sheet name="1.Eng&amp;Admin" sheetId="14" r:id="rId5"/>
    <sheet name="2.Cons&amp;Inst" sheetId="11" r:id="rId6"/>
    <sheet name="3.Ops&amp;Maint" sheetId="12" r:id="rId7"/>
    <sheet name="4.Lifecycle" sheetId="15" r:id="rId8"/>
    <sheet name="5.Road_users" sheetId="21" r:id="rId9"/>
    <sheet name="6.Safety" sheetId="20" r:id="rId10"/>
    <sheet name="7.Environment" sheetId="13" r:id="rId11"/>
    <sheet name="8.Risk_Mgmt" sheetId="18" r:id="rId12"/>
    <sheet name="9.Others" sheetId="19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" i="4" l="1"/>
  <c r="A29" i="13" l="1"/>
  <c r="A47" i="10"/>
  <c r="B22" i="14" l="1"/>
  <c r="A24" i="14" s="1"/>
  <c r="A22" i="12"/>
  <c r="D13" i="12"/>
  <c r="A35" i="10"/>
  <c r="F14" i="4"/>
  <c r="A25" i="20" l="1"/>
  <c r="A16" i="21"/>
  <c r="B16" i="21" l="1"/>
  <c r="H9" i="21"/>
  <c r="G9" i="21"/>
  <c r="G10" i="21" s="1"/>
  <c r="B13" i="21" s="1"/>
  <c r="H8" i="21"/>
  <c r="H10" i="21" s="1"/>
  <c r="B14" i="21" s="1"/>
  <c r="G8" i="21"/>
  <c r="H7" i="21"/>
  <c r="G7" i="21"/>
  <c r="H6" i="21"/>
  <c r="G6" i="21"/>
  <c r="F18" i="20"/>
  <c r="E18" i="20"/>
  <c r="E17" i="20"/>
  <c r="F17" i="20" s="1"/>
  <c r="E16" i="20"/>
  <c r="F16" i="20" s="1"/>
  <c r="E15" i="20"/>
  <c r="F15" i="20" s="1"/>
  <c r="F14" i="20"/>
  <c r="F19" i="20" s="1"/>
  <c r="B24" i="20" s="1"/>
  <c r="B25" i="20" s="1"/>
  <c r="E14" i="20"/>
  <c r="B26" i="3" l="1"/>
  <c r="A27" i="20"/>
  <c r="B25" i="3"/>
  <c r="A18" i="21"/>
  <c r="B15" i="21"/>
  <c r="A14" i="3"/>
  <c r="A16" i="19"/>
  <c r="H9" i="19"/>
  <c r="G9" i="19"/>
  <c r="H8" i="19"/>
  <c r="H10" i="19" s="1"/>
  <c r="B14" i="19" s="1"/>
  <c r="G8" i="19"/>
  <c r="H7" i="19"/>
  <c r="G7" i="19"/>
  <c r="H6" i="19"/>
  <c r="G6" i="19"/>
  <c r="G10" i="19" s="1"/>
  <c r="B13" i="19" s="1"/>
  <c r="B15" i="19" s="1"/>
  <c r="B16" i="19" s="1"/>
  <c r="A16" i="18"/>
  <c r="H9" i="18"/>
  <c r="G9" i="18"/>
  <c r="H8" i="18"/>
  <c r="G8" i="18"/>
  <c r="H7" i="18"/>
  <c r="G7" i="18"/>
  <c r="H6" i="18"/>
  <c r="G6" i="18"/>
  <c r="G10" i="18" s="1"/>
  <c r="B13" i="18" s="1"/>
  <c r="B29" i="3" l="1"/>
  <c r="A18" i="19"/>
  <c r="H10" i="18"/>
  <c r="B14" i="18" s="1"/>
  <c r="A20" i="3"/>
  <c r="B14" i="3"/>
  <c r="B15" i="18"/>
  <c r="B16" i="18" s="1"/>
  <c r="B28" i="3" l="1"/>
  <c r="A18" i="18"/>
  <c r="A21" i="15"/>
  <c r="D11" i="15"/>
  <c r="A22" i="14"/>
  <c r="H16" i="14"/>
  <c r="G16" i="14"/>
  <c r="H15" i="14"/>
  <c r="G15" i="14"/>
  <c r="H14" i="14"/>
  <c r="G14" i="14"/>
  <c r="H13" i="14"/>
  <c r="G13" i="14"/>
  <c r="G7" i="14"/>
  <c r="F7" i="14"/>
  <c r="F8" i="14" s="1"/>
  <c r="G6" i="14"/>
  <c r="F6" i="14"/>
  <c r="G5" i="14"/>
  <c r="F5" i="14"/>
  <c r="H17" i="14" l="1"/>
  <c r="G17" i="14"/>
  <c r="G8" i="14"/>
  <c r="F15" i="15"/>
  <c r="B19" i="15" s="1"/>
  <c r="E15" i="15"/>
  <c r="B18" i="15" s="1"/>
  <c r="B20" i="15" s="1"/>
  <c r="B20" i="14"/>
  <c r="B21" i="14"/>
  <c r="A22" i="11"/>
  <c r="B21" i="15" l="1"/>
  <c r="B21" i="3"/>
  <c r="B24" i="3" l="1"/>
  <c r="A23" i="15"/>
  <c r="F27" i="10"/>
  <c r="F28" i="10"/>
  <c r="F29" i="10"/>
  <c r="F30" i="10"/>
  <c r="F31" i="10"/>
  <c r="F26" i="10"/>
  <c r="E27" i="10"/>
  <c r="E28" i="10"/>
  <c r="E29" i="10"/>
  <c r="E30" i="10"/>
  <c r="E31" i="10"/>
  <c r="E26" i="10"/>
  <c r="D27" i="10"/>
  <c r="D28" i="10"/>
  <c r="D29" i="10"/>
  <c r="D30" i="10"/>
  <c r="D31" i="10"/>
  <c r="D26" i="10"/>
  <c r="C27" i="10"/>
  <c r="C28" i="10"/>
  <c r="C29" i="10"/>
  <c r="C30" i="10"/>
  <c r="C31" i="10"/>
  <c r="C26" i="10"/>
  <c r="B27" i="10"/>
  <c r="B28" i="10"/>
  <c r="B29" i="10"/>
  <c r="B30" i="10"/>
  <c r="B31" i="10"/>
  <c r="B26" i="10"/>
  <c r="H24" i="13"/>
  <c r="G24" i="13"/>
  <c r="H23" i="13"/>
  <c r="G23" i="13"/>
  <c r="H13" i="13"/>
  <c r="G13" i="13"/>
  <c r="H16" i="13"/>
  <c r="G16" i="13"/>
  <c r="H15" i="13"/>
  <c r="G15" i="13"/>
  <c r="H14" i="13"/>
  <c r="G14" i="13"/>
  <c r="G7" i="13"/>
  <c r="F7" i="13"/>
  <c r="G6" i="13"/>
  <c r="F6" i="13"/>
  <c r="G5" i="13"/>
  <c r="F5" i="13"/>
  <c r="I16" i="12"/>
  <c r="H16" i="12"/>
  <c r="G7" i="12"/>
  <c r="F7" i="12"/>
  <c r="G6" i="12"/>
  <c r="F6" i="12"/>
  <c r="G5" i="12"/>
  <c r="F5" i="12"/>
  <c r="H15" i="11"/>
  <c r="G15" i="11"/>
  <c r="G14" i="11"/>
  <c r="H14" i="11"/>
  <c r="G16" i="11"/>
  <c r="H16" i="11"/>
  <c r="F6" i="11"/>
  <c r="G6" i="11"/>
  <c r="F7" i="11"/>
  <c r="G7" i="11"/>
  <c r="G5" i="11"/>
  <c r="G8" i="11" s="1"/>
  <c r="F5" i="11"/>
  <c r="G8" i="13" l="1"/>
  <c r="F8" i="12"/>
  <c r="G8" i="12"/>
  <c r="F8" i="11"/>
  <c r="G30" i="10"/>
  <c r="B41" i="10" s="1"/>
  <c r="B53" i="10" s="1"/>
  <c r="G29" i="10"/>
  <c r="B40" i="10" s="1"/>
  <c r="B52" i="10" s="1"/>
  <c r="G31" i="10"/>
  <c r="B42" i="10" s="1"/>
  <c r="B54" i="10" s="1"/>
  <c r="G26" i="10"/>
  <c r="B37" i="10" s="1"/>
  <c r="B49" i="10" s="1"/>
  <c r="G28" i="10"/>
  <c r="B39" i="10" s="1"/>
  <c r="B51" i="10" s="1"/>
  <c r="G27" i="10"/>
  <c r="B38" i="10" s="1"/>
  <c r="B50" i="10" s="1"/>
  <c r="G17" i="13"/>
  <c r="H17" i="13"/>
  <c r="F8" i="13"/>
  <c r="B55" i="10" l="1"/>
  <c r="E22" i="13" s="1"/>
  <c r="B43" i="10"/>
  <c r="G32" i="10"/>
  <c r="E13" i="12" l="1"/>
  <c r="H13" i="12" s="1"/>
  <c r="E15" i="12"/>
  <c r="E14" i="12"/>
  <c r="H14" i="12" s="1"/>
  <c r="G22" i="13"/>
  <c r="G25" i="13" s="1"/>
  <c r="B27" i="13" s="1"/>
  <c r="C11" i="3" l="1"/>
  <c r="F1" i="4"/>
  <c r="M2" i="4" l="1"/>
  <c r="L15" i="4"/>
  <c r="D15" i="4"/>
  <c r="K15" i="4"/>
  <c r="I15" i="4"/>
  <c r="J15" i="4"/>
  <c r="H15" i="4"/>
  <c r="G15" i="4"/>
  <c r="F15" i="4"/>
  <c r="E15" i="4"/>
  <c r="M15" i="4"/>
  <c r="N2" i="4"/>
  <c r="G2" i="4"/>
  <c r="H2" i="4"/>
  <c r="F2" i="4"/>
  <c r="I2" i="4"/>
  <c r="K2" i="4"/>
  <c r="J2" i="4"/>
  <c r="L2" i="4"/>
  <c r="E2" i="4"/>
  <c r="E4" i="4" l="1"/>
  <c r="D17" i="4" s="1"/>
  <c r="E5" i="4"/>
  <c r="D18" i="4" s="1"/>
  <c r="E6" i="4"/>
  <c r="D19" i="4" s="1"/>
  <c r="E7" i="4"/>
  <c r="D20" i="4" s="1"/>
  <c r="E8" i="4"/>
  <c r="D21" i="4" s="1"/>
  <c r="E3" i="4"/>
  <c r="D16" i="4" s="1"/>
  <c r="N8" i="4"/>
  <c r="N4" i="4"/>
  <c r="N3" i="4"/>
  <c r="N5" i="4"/>
  <c r="N6" i="4"/>
  <c r="N7" i="4"/>
  <c r="L3" i="4"/>
  <c r="L4" i="4"/>
  <c r="L6" i="4"/>
  <c r="L8" i="4"/>
  <c r="L5" i="4"/>
  <c r="L7" i="4"/>
  <c r="F8" i="4"/>
  <c r="F5" i="4"/>
  <c r="F7" i="4"/>
  <c r="F3" i="4"/>
  <c r="F4" i="4"/>
  <c r="F6" i="4"/>
  <c r="J4" i="4"/>
  <c r="J5" i="4"/>
  <c r="J6" i="4"/>
  <c r="J8" i="4"/>
  <c r="J3" i="4"/>
  <c r="J7" i="4"/>
  <c r="I5" i="4"/>
  <c r="I7" i="4"/>
  <c r="I4" i="4"/>
  <c r="I6" i="4"/>
  <c r="I8" i="4"/>
  <c r="I3" i="4"/>
  <c r="H6" i="4"/>
  <c r="H8" i="4"/>
  <c r="H3" i="4"/>
  <c r="H4" i="4"/>
  <c r="H5" i="4"/>
  <c r="H7" i="4"/>
  <c r="G7" i="4"/>
  <c r="G3" i="4"/>
  <c r="G5" i="4"/>
  <c r="G8" i="4"/>
  <c r="G4" i="4"/>
  <c r="G6" i="4"/>
  <c r="K3" i="4"/>
  <c r="K4" i="4"/>
  <c r="K5" i="4"/>
  <c r="K8" i="4"/>
  <c r="K6" i="4"/>
  <c r="K7" i="4"/>
  <c r="M3" i="4"/>
  <c r="M6" i="4"/>
  <c r="M8" i="4"/>
  <c r="M4" i="4"/>
  <c r="M5" i="4"/>
  <c r="M9" i="4" s="1"/>
  <c r="M7" i="4"/>
  <c r="D3" i="4" l="1"/>
  <c r="E17" i="4"/>
  <c r="F17" i="4" s="1"/>
  <c r="G17" i="4" s="1"/>
  <c r="H17" i="4" s="1"/>
  <c r="I17" i="4" s="1"/>
  <c r="J17" i="4" s="1"/>
  <c r="E16" i="4"/>
  <c r="F16" i="4" s="1"/>
  <c r="G16" i="4" s="1"/>
  <c r="H16" i="4" s="1"/>
  <c r="I16" i="4" s="1"/>
  <c r="E19" i="4"/>
  <c r="F19" i="4" s="1"/>
  <c r="G19" i="4" s="1"/>
  <c r="H19" i="4" s="1"/>
  <c r="E18" i="4"/>
  <c r="F18" i="4" s="1"/>
  <c r="G18" i="4" s="1"/>
  <c r="H18" i="4" s="1"/>
  <c r="I18" i="4" s="1"/>
  <c r="J18" i="4" s="1"/>
  <c r="K18" i="4" s="1"/>
  <c r="L18" i="4" s="1"/>
  <c r="M18" i="4" s="1"/>
  <c r="E21" i="4"/>
  <c r="F21" i="4" s="1"/>
  <c r="G21" i="4" s="1"/>
  <c r="H21" i="4" s="1"/>
  <c r="I21" i="4" s="1"/>
  <c r="J21" i="4" s="1"/>
  <c r="K21" i="4" s="1"/>
  <c r="L21" i="4" s="1"/>
  <c r="M21" i="4" s="1"/>
  <c r="E20" i="4"/>
  <c r="F20" i="4" s="1"/>
  <c r="G20" i="4" s="1"/>
  <c r="H20" i="4" s="1"/>
  <c r="I20" i="4" s="1"/>
  <c r="J20" i="4" s="1"/>
  <c r="K9" i="4"/>
  <c r="J9" i="4"/>
  <c r="L9" i="4"/>
  <c r="D4" i="4"/>
  <c r="G9" i="4"/>
  <c r="H9" i="4"/>
  <c r="K17" i="4" l="1"/>
  <c r="L17" i="4" s="1"/>
  <c r="M17" i="4" s="1"/>
  <c r="K20" i="4"/>
  <c r="L20" i="4" s="1"/>
  <c r="M20" i="4" s="1"/>
  <c r="J16" i="4"/>
  <c r="I19" i="4"/>
  <c r="J19" i="4" s="1"/>
  <c r="K19" i="4" s="1"/>
  <c r="L19" i="4" s="1"/>
  <c r="M19" i="4" s="1"/>
  <c r="C18" i="4"/>
  <c r="C21" i="4"/>
  <c r="D5" i="4"/>
  <c r="K16" i="4" l="1"/>
  <c r="C20" i="4"/>
  <c r="D41" i="10" s="1"/>
  <c r="C17" i="4"/>
  <c r="D38" i="10" s="1"/>
  <c r="C19" i="4"/>
  <c r="J22" i="4"/>
  <c r="I22" i="4"/>
  <c r="D42" i="10"/>
  <c r="D39" i="10"/>
  <c r="D6" i="4"/>
  <c r="C39" i="10" l="1"/>
  <c r="C51" i="10" s="1"/>
  <c r="D51" i="10"/>
  <c r="C42" i="10"/>
  <c r="C54" i="10" s="1"/>
  <c r="D54" i="10"/>
  <c r="C41" i="10"/>
  <c r="C53" i="10" s="1"/>
  <c r="D53" i="10"/>
  <c r="C38" i="10"/>
  <c r="C50" i="10" s="1"/>
  <c r="D50" i="10"/>
  <c r="L16" i="4"/>
  <c r="K22" i="4"/>
  <c r="D40" i="10"/>
  <c r="D52" i="10" s="1"/>
  <c r="D7" i="4"/>
  <c r="F9" i="4"/>
  <c r="I9" i="4"/>
  <c r="L22" i="4" l="1"/>
  <c r="M16" i="4"/>
  <c r="C40" i="10"/>
  <c r="C52" i="10" s="1"/>
  <c r="E22" i="4"/>
  <c r="F22" i="4"/>
  <c r="D22" i="4"/>
  <c r="N9" i="4"/>
  <c r="D8" i="4"/>
  <c r="D9" i="4" s="1"/>
  <c r="E9" i="4"/>
  <c r="M22" i="4" l="1"/>
  <c r="C16" i="4"/>
  <c r="H22" i="4"/>
  <c r="G22" i="4"/>
  <c r="F13" i="11"/>
  <c r="H13" i="11" s="1"/>
  <c r="H17" i="11" s="1"/>
  <c r="B21" i="11" s="1"/>
  <c r="E13" i="11"/>
  <c r="G13" i="11" s="1"/>
  <c r="G17" i="11" s="1"/>
  <c r="B20" i="11" s="1"/>
  <c r="D37" i="10" l="1"/>
  <c r="D49" i="10" s="1"/>
  <c r="D55" i="10" s="1"/>
  <c r="C22" i="4"/>
  <c r="B22" i="11"/>
  <c r="B22" i="3" l="1"/>
  <c r="A24" i="11"/>
  <c r="C37" i="10"/>
  <c r="C49" i="10" s="1"/>
  <c r="C55" i="10" s="1"/>
  <c r="F22" i="13" s="1"/>
  <c r="H22" i="13" s="1"/>
  <c r="H25" i="13" s="1"/>
  <c r="B28" i="13" s="1"/>
  <c r="B29" i="13" s="1"/>
  <c r="D43" i="10"/>
  <c r="B27" i="3" l="1"/>
  <c r="A31" i="13"/>
  <c r="G13" i="12"/>
  <c r="G14" i="12"/>
  <c r="G15" i="12"/>
  <c r="C43" i="10"/>
  <c r="F13" i="12" l="1"/>
  <c r="I13" i="12" s="1"/>
  <c r="F14" i="12"/>
  <c r="I14" i="12" s="1"/>
  <c r="F15" i="12"/>
  <c r="I15" i="12" l="1"/>
  <c r="I17" i="12" s="1"/>
  <c r="B21" i="12" s="1"/>
  <c r="H15" i="12"/>
  <c r="H17" i="12" s="1"/>
  <c r="B20" i="12" s="1"/>
  <c r="B22" i="12" s="1"/>
  <c r="B23" i="3" l="1"/>
  <c r="B20" i="3" s="1"/>
  <c r="B19" i="3" s="1"/>
  <c r="A24" i="12"/>
</calcChain>
</file>

<file path=xl/sharedStrings.xml><?xml version="1.0" encoding="utf-8"?>
<sst xmlns="http://schemas.openxmlformats.org/spreadsheetml/2006/main" count="531" uniqueCount="247">
  <si>
    <t>Category</t>
  </si>
  <si>
    <t>Others</t>
  </si>
  <si>
    <t>Direct labor costs</t>
  </si>
  <si>
    <t>Road user costs</t>
  </si>
  <si>
    <t>Safety costs</t>
  </si>
  <si>
    <t>Environmental costs</t>
  </si>
  <si>
    <t>Risk management costs</t>
  </si>
  <si>
    <t>Description</t>
  </si>
  <si>
    <t>N/A</t>
  </si>
  <si>
    <t>Project Title</t>
  </si>
  <si>
    <t>Project Number</t>
  </si>
  <si>
    <t>PI</t>
  </si>
  <si>
    <t>Organization</t>
  </si>
  <si>
    <t>Project Start</t>
  </si>
  <si>
    <t>Project End</t>
  </si>
  <si>
    <t>Project cost</t>
  </si>
  <si>
    <t>Analysis Time Frame (years)</t>
  </si>
  <si>
    <t>Costs related to tort liability, fines</t>
  </si>
  <si>
    <t>Costs related to time and money of road users</t>
  </si>
  <si>
    <t>Phase</t>
  </si>
  <si>
    <t>Project information</t>
  </si>
  <si>
    <t>Input for Analysis</t>
  </si>
  <si>
    <t>Analysis Output</t>
  </si>
  <si>
    <t>Benefit/Cost Ratio</t>
  </si>
  <si>
    <t>Connecticut</t>
  </si>
  <si>
    <t>Maine</t>
  </si>
  <si>
    <t>Massachusetts</t>
  </si>
  <si>
    <t>Rhode Island</t>
  </si>
  <si>
    <t>Vermont</t>
  </si>
  <si>
    <t>Unit</t>
  </si>
  <si>
    <t>State</t>
  </si>
  <si>
    <t>Total</t>
  </si>
  <si>
    <t>NE Total</t>
  </si>
  <si>
    <t>Narratives of change/benefits</t>
  </si>
  <si>
    <t>Labor category description</t>
  </si>
  <si>
    <t>Notes</t>
  </si>
  <si>
    <t>Fatal crashes</t>
  </si>
  <si>
    <t>Type A crashes (Incapacitating)</t>
  </si>
  <si>
    <t>Type B crashes (Non-Incapacitating)</t>
  </si>
  <si>
    <t>Type C crashes (Possible injury)</t>
  </si>
  <si>
    <t>Crash type</t>
  </si>
  <si>
    <t>PDO crashes, including severity unknown (No injury, property damage only)</t>
  </si>
  <si>
    <t>CRASH COST ANALYSIS</t>
  </si>
  <si>
    <t>Lifecycle</t>
  </si>
  <si>
    <t>Safety</t>
  </si>
  <si>
    <t>Effective Establishment of Native Grasses on Roadsides in New England</t>
  </si>
  <si>
    <t>NETC 9-02</t>
  </si>
  <si>
    <t>Yulia Kuzovkina, Cristian Schulthess, Robert Ricard, Glenn Dreyer</t>
  </si>
  <si>
    <t>Planning/design</t>
  </si>
  <si>
    <t>Operation/Maintenance</t>
  </si>
  <si>
    <t>Operation &amp; Maintenance Costs</t>
  </si>
  <si>
    <t>Lifecycle Costs</t>
  </si>
  <si>
    <t>Lifecycle costs</t>
  </si>
  <si>
    <t>Costs related to reduction of crash frequency/severity</t>
  </si>
  <si>
    <t>Material &amp; Equipment costs</t>
  </si>
  <si>
    <t>Direct labor costs related to treating/recycling wastes, hazardous materials</t>
  </si>
  <si>
    <t>Materials &amp; equipment costs related to treating/recycling wastes, hazardous materials</t>
  </si>
  <si>
    <t>X</t>
  </si>
  <si>
    <t>Costs related to planning &amp; designing</t>
  </si>
  <si>
    <t>Material &amp; equipment costs for construction/installation/establishment</t>
  </si>
  <si>
    <t>Costs related to change in average lifecycle</t>
  </si>
  <si>
    <t>Road User Costs</t>
  </si>
  <si>
    <t>Emission &amp; Pollution Costs</t>
  </si>
  <si>
    <t>Engineering &amp; administrative costs</t>
  </si>
  <si>
    <t>No change, about the same for both</t>
  </si>
  <si>
    <t>Seed purchase</t>
  </si>
  <si>
    <t>Native grass seeds are more expensive</t>
  </si>
  <si>
    <t>Surface/soil treatment</t>
  </si>
  <si>
    <t>Application</t>
  </si>
  <si>
    <t>Cost of purchasing grass seeds</t>
  </si>
  <si>
    <t>Cost related to soil/surface treatment</t>
  </si>
  <si>
    <t>No special treatment of soil required, cost about the same</t>
  </si>
  <si>
    <t>Mowing/regular maintenance</t>
  </si>
  <si>
    <t>Re-seeding/repairing</t>
  </si>
  <si>
    <t>Treating invasive species</t>
  </si>
  <si>
    <t>Native grass requires less frequent mowing so it costs less</t>
  </si>
  <si>
    <t>Native grass requires less or no treatment so it costs less</t>
  </si>
  <si>
    <t>Mowing and general maintenance costs</t>
  </si>
  <si>
    <t>Cost of patching/repairing</t>
  </si>
  <si>
    <t>Cost related to treating invasive species</t>
  </si>
  <si>
    <t>No change</t>
  </si>
  <si>
    <t>Construction/Installation Costs</t>
  </si>
  <si>
    <t>Native grass requires less frequent mowing so less emission</t>
  </si>
  <si>
    <t>Sub-Category/Item</t>
  </si>
  <si>
    <t>CONSTRUCTION/INSTALLATION COST ANALYSIS</t>
  </si>
  <si>
    <t>DIRECT LABOR</t>
  </si>
  <si>
    <t>&lt;Add description of item 2&gt;</t>
  </si>
  <si>
    <t>&lt;Add description of labor&gt;</t>
  </si>
  <si>
    <t>Loaded
rate</t>
  </si>
  <si>
    <t>MATERIAL, EQUIPMENT, &amp; ACTIVITIES</t>
  </si>
  <si>
    <t>Item description</t>
  </si>
  <si>
    <t>&lt;Add description of item 1&gt;</t>
  </si>
  <si>
    <t>&lt;Add description of item 3&gt;</t>
  </si>
  <si>
    <t>&lt;Add description of item 4&gt;</t>
  </si>
  <si>
    <t>Acre</t>
  </si>
  <si>
    <t>hydroseeding, same for both, no change in cost</t>
  </si>
  <si>
    <t>OPERATION AND MAINTENANCE COST ANALYSIS</t>
  </si>
  <si>
    <t>EMMISSION COST</t>
  </si>
  <si>
    <t>Mower's Emission</t>
  </si>
  <si>
    <t>Interstate</t>
  </si>
  <si>
    <t>Other Principal Arterial</t>
  </si>
  <si>
    <t>Minor Arterial</t>
  </si>
  <si>
    <t>Major Collector</t>
  </si>
  <si>
    <t>Minor Collector</t>
  </si>
  <si>
    <t>Local</t>
  </si>
  <si>
    <t>Freeways and Expressways</t>
  </si>
  <si>
    <t>Other Minor Arterial</t>
  </si>
  <si>
    <t>Collector</t>
  </si>
  <si>
    <t>New Hampshire</t>
  </si>
  <si>
    <t>RAW DATA INPUT</t>
  </si>
  <si>
    <t>Rural Interstate</t>
  </si>
  <si>
    <t>Principle Arterial</t>
  </si>
  <si>
    <t>W=</t>
  </si>
  <si>
    <t>N1=</t>
  </si>
  <si>
    <t>N2=</t>
  </si>
  <si>
    <t>N3=</t>
  </si>
  <si>
    <t>N4=</t>
  </si>
  <si>
    <t>Native grass lasts longer but this cost is included in the re-seeding/patching costs</t>
  </si>
  <si>
    <t>Total Benefits (per year)</t>
  </si>
  <si>
    <t>7) Mower can do 1 acre per linear mile</t>
  </si>
  <si>
    <t>N5=</t>
  </si>
  <si>
    <t>N6=</t>
  </si>
  <si>
    <t>FC=</t>
  </si>
  <si>
    <t>8) Mower's fuel consumption (MPG)</t>
  </si>
  <si>
    <t>EM=</t>
  </si>
  <si>
    <t>Engineering &amp; admin</t>
  </si>
  <si>
    <t>Construction/Installation</t>
  </si>
  <si>
    <t>Operation &amp; Maintenance</t>
  </si>
  <si>
    <t>Road users</t>
  </si>
  <si>
    <t>Risk Management</t>
  </si>
  <si>
    <t>ENVIRONMENTAL COST ANALYSIS</t>
  </si>
  <si>
    <t>ENGINEERING &amp; ADMINISTRATION COST ANALYSIS</t>
  </si>
  <si>
    <t>OTHER ADMINISTRATION RELATED ITEMS OR ACTIVITIES</t>
  </si>
  <si>
    <t>&lt;Add description of item  or activity 1&gt;</t>
  </si>
  <si>
    <t>&lt;Add description of item  or activity 4&gt;</t>
  </si>
  <si>
    <t>&lt;Add description of item  or activity 3&gt;</t>
  </si>
  <si>
    <t>&lt;Add description of item  or activity 2&gt;</t>
  </si>
  <si>
    <t>&lt;Unit&gt;</t>
  </si>
  <si>
    <t>Sub-Total</t>
  </si>
  <si>
    <t>LIFECYCLE COST ANALYSIS</t>
  </si>
  <si>
    <t>LIFECYCLE ASSUMPTION</t>
  </si>
  <si>
    <t>Average lifecycle BEFORE (years)</t>
  </si>
  <si>
    <t>Average lifecycle AFTER (years)</t>
  </si>
  <si>
    <t>LIFECYCLE COSTS</t>
  </si>
  <si>
    <t>ROAD USER COST ANALYSIS</t>
  </si>
  <si>
    <t>ROAD USER COSTS</t>
  </si>
  <si>
    <t>Sub-category/Item description</t>
  </si>
  <si>
    <t>COMPREHENSIVE CRASH COSTS</t>
  </si>
  <si>
    <t>ESTIMATION OF CRASH REDUCTION</t>
  </si>
  <si>
    <t>Crash
modification factors</t>
  </si>
  <si>
    <t>RISK MANAGEMENT COST ANALYSIS</t>
  </si>
  <si>
    <t>RISK MANAGEMENT COSTS</t>
  </si>
  <si>
    <t>ALL OTHER COSTS ANALYSIS</t>
  </si>
  <si>
    <t>ALL OTHER COSTS</t>
  </si>
  <si>
    <t>Inflation rate (%)</t>
  </si>
  <si>
    <t>&lt;Add description of labor category 1&gt;</t>
  </si>
  <si>
    <t>&lt;Add description of labor category 2&gt;</t>
  </si>
  <si>
    <t>&lt;Add description of labor category 3&gt;</t>
  </si>
  <si>
    <t>Installation/Construction</t>
  </si>
  <si>
    <t>Data sources</t>
  </si>
  <si>
    <t>Pollination</t>
  </si>
  <si>
    <t>Both self and cross pollination, pollinator population</t>
  </si>
  <si>
    <t>Annual Rate of Replacement</t>
  </si>
  <si>
    <t>Number
of hours (alternative)</t>
  </si>
  <si>
    <t>Total
cost (alternative)</t>
  </si>
  <si>
    <t>Unit price (alternative)</t>
  </si>
  <si>
    <t>Quantity (alternative)</t>
  </si>
  <si>
    <t>Total Engineering &amp; Admin Cost (alternative)</t>
  </si>
  <si>
    <t>Total Construction &amp; Installation Cost (alternative)</t>
  </si>
  <si>
    <t>Total Operation &amp; Maintenance Cost (alternative)</t>
  </si>
  <si>
    <t>Total Upfront Investment per year (alternative)</t>
  </si>
  <si>
    <t>Total Road User Costs (alternative)</t>
  </si>
  <si>
    <t>Total Environmental Cost (alternative)</t>
  </si>
  <si>
    <t>Total Risk Management Costs (alternative)</t>
  </si>
  <si>
    <t>Total all other costs (alternative)</t>
  </si>
  <si>
    <t>Number
of hours
(existing)</t>
  </si>
  <si>
    <t>Total cost
(existing)</t>
  </si>
  <si>
    <t>Unit price (existing)</t>
  </si>
  <si>
    <t>Quantity
(existing)</t>
  </si>
  <si>
    <t>Total Engineering &amp; Admin Cost (existing)</t>
  </si>
  <si>
    <t>Total Construction &amp; Installation Cost (existing)</t>
  </si>
  <si>
    <t>Total Operation &amp; Maintenance Cost (existing)</t>
  </si>
  <si>
    <t>Total Upfront Investment per year (existing)</t>
  </si>
  <si>
    <t>Total Road User Costs (existing)</t>
  </si>
  <si>
    <t>Total Environmental Cost (existing)</t>
  </si>
  <si>
    <t>Total Risk Management Costs (existing)</t>
  </si>
  <si>
    <t>Total all other costs (existing)</t>
  </si>
  <si>
    <t>Total
crashes per year
(existing)</t>
  </si>
  <si>
    <t>Total/Expected crashes per year
(alternative)</t>
  </si>
  <si>
    <t>Crash reduction per year</t>
  </si>
  <si>
    <t>Crash cost saved per year</t>
  </si>
  <si>
    <t>Total safety benefits (per year)</t>
  </si>
  <si>
    <t>Analysis year</t>
  </si>
  <si>
    <t>1) NETC 09-02 project report (Kuzovkina et al.)
2) George Batchelor, Supervisor of Landscape Design, MASSDOT</t>
  </si>
  <si>
    <t>Rural Mileage</t>
  </si>
  <si>
    <t>Urban Mileage</t>
  </si>
  <si>
    <t>Area of grass (Acre)</t>
  </si>
  <si>
    <t>Replacement schedule</t>
  </si>
  <si>
    <t>Accumulative areas of new grass</t>
  </si>
  <si>
    <t>Existing grass (after implementation of research findings)</t>
  </si>
  <si>
    <t>Total Existing grass (Before implementation of research findings)</t>
  </si>
  <si>
    <t>New grass (after implementation of research findings)</t>
  </si>
  <si>
    <t>Quantity of existing item
(before research implementation)</t>
  </si>
  <si>
    <t>Quantity of existing item (after research implementation)</t>
  </si>
  <si>
    <t>Quantity  of alternative item (after research implementation)</t>
  </si>
  <si>
    <t>Reseeding and repairing price information from discussions with SMEs</t>
  </si>
  <si>
    <t>Price information from discussions with SMEs</t>
  </si>
  <si>
    <t>Mowing practice and cost information from the research report,  VTrans State Highway System Mowing Best Management Practices and discussion with SMEs</t>
  </si>
  <si>
    <t>ton</t>
  </si>
  <si>
    <t>Unit cost of emission from EPA/US Government's Interagency Working Group on Social Cost of Carbon</t>
  </si>
  <si>
    <t>Common mowing practice, from VTrans State Highway System Mowing Best Management Practices and discussions with SMEs</t>
  </si>
  <si>
    <t>Tractor's fuel consumption varies, assuming on average 5 miles per gallon of diesel fuel</t>
  </si>
  <si>
    <t>For mowing existing grass (Before implementation of research findings)</t>
  </si>
  <si>
    <t>For mowing existing grass (after implementation of research findings)</t>
  </si>
  <si>
    <t>For mowing new grass (after implementation of research findings)</t>
  </si>
  <si>
    <t>Average CO2 emission for diesel fuel, information from US Energy Information Administration</t>
  </si>
  <si>
    <t>10) Native grass only needs 80% of mowing</t>
  </si>
  <si>
    <t>Seed price information from Ernst Conservation Seeds and conversations with SMEs</t>
  </si>
  <si>
    <t>Roadside aesthetics and quality of life</t>
  </si>
  <si>
    <t>Aesthetics &amp; quality of life</t>
  </si>
  <si>
    <t>Not quantifiable</t>
  </si>
  <si>
    <t>Native grass is more resilient and requires less repair and it costs less</t>
  </si>
  <si>
    <t>Costs related to pollution caused by emission, wastes, hazardous materials</t>
  </si>
  <si>
    <t>Environmental</t>
  </si>
  <si>
    <t>University of Connecticut &amp; Connecticut College of Arboretum</t>
  </si>
  <si>
    <t>Assumption made based on  discussions with SMEs</t>
  </si>
  <si>
    <t>5) Major Collector needs 1 30-ft clear zone (half for 2 roadsides)</t>
  </si>
  <si>
    <t>6) 50% of Minor Collector needs 1 30-ft clear zone (2 roadsides, half)</t>
  </si>
  <si>
    <t>Mower's cutting width varies, assuming on average a mower can cut 1 acre of grass for 1 mile it travels, assumption made based on  discussions with SMEs</t>
  </si>
  <si>
    <t>9) Emission (lbs. of CO2 per gallon)</t>
  </si>
  <si>
    <t>1) Mow 30ft clear zone</t>
  </si>
  <si>
    <t>2) Rural freeway needs full 4 30-ft clear zone (2 for roadsides &amp; 2 for median)</t>
  </si>
  <si>
    <t>3) Rural Principle Arterial needs 3 30-ft clear zone (2 for roadsides &amp; 1 for median)</t>
  </si>
  <si>
    <t>4) Rural Minor Arterial needs 2 30-ft clear zone (full for 2 roadsides)</t>
  </si>
  <si>
    <t>hr.</t>
  </si>
  <si>
    <t>Upfront Investment (existing)</t>
  </si>
  <si>
    <t>Upfront Investment (alternative)</t>
  </si>
  <si>
    <t>Average Upfront Investment per year (existing)</t>
  </si>
  <si>
    <t>Average Upfront Investment per year (alternative)</t>
  </si>
  <si>
    <t>Comprehensive
crash costs</t>
  </si>
  <si>
    <t>Comprehensive crash costs by severity in 2016 dollars from FHWA's Crash Costs for Highway Safety Analysis (FHWA-SA-17-071). Refer to this document for more information on costs and adjustment. Use state numbers if available.</t>
  </si>
  <si>
    <t>Assumptions</t>
  </si>
  <si>
    <t>1) US Environmental Protection Agency’s The Social Cost of Carbon
2) US Government's Interagency Working Group on Social Cost of Carbon (https://www.epa.gov/sites/production/files/2016-12/documents/sc_co2_tsd_august_2016.pdf)
3) US Energy Information Administration (https://www.eia.gov/tools/faqs/faq.php?id=307&amp;t=11)</t>
  </si>
  <si>
    <t>1) Ernst Conservation Seeds (https://www.ernstseed.com)
2) George Batchelor, Supervisor of Landscape Design, MassDOT</t>
  </si>
  <si>
    <t>Inputs from VHB's environmental and botanical sciences team</t>
  </si>
  <si>
    <t>1) NETC 09-02 project report (Kuzovkina et al.)
2) Inputs from VHB's environmental and botanical sciences team</t>
  </si>
  <si>
    <t>1) NETC 09-02 project report (Kuzovkina et al.)
2) Susan Fiedler, State Design Landscape Architect, CTDOT
3) Craig Digiammarino, Environmental Program Manager, Vtrans
4) VTrans State Highway System Mowing Best Management Practices (https://vtrans.vermont.gov/operations/technical-services/environmental/stormwater/best-management-practices)
5) TxDOT Roadside mowing guide (ftp://ftp.dot.state.tx.us/pub/txdot-info/cmd/cserve/specs/2004/standard/s730.pdf)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</si>
</sst>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_(* #,##0.000_);_(* \(#,##0.000\);_(* &quot;-&quot;??_);_(@_)"/>
    <numFmt numFmtId="168" formatCode="_(* #,##0.000_);_(* \(#,##0.000\);_(* &quot;-&quot;?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4" fontId="0" fillId="2" borderId="0" xfId="1" applyNumberFormat="1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6" borderId="0" xfId="0" applyFont="1" applyFill="1"/>
    <xf numFmtId="0" fontId="0" fillId="6" borderId="0" xfId="0" applyFill="1"/>
    <xf numFmtId="0" fontId="4" fillId="6" borderId="0" xfId="0" applyFont="1" applyFill="1"/>
    <xf numFmtId="0" fontId="0" fillId="0" borderId="0" xfId="0" applyAlignment="1">
      <alignment horizontal="center" vertical="center"/>
    </xf>
    <xf numFmtId="0" fontId="4" fillId="0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164" fontId="0" fillId="0" borderId="0" xfId="1" applyNumberFormat="1" applyFont="1"/>
    <xf numFmtId="165" fontId="0" fillId="0" borderId="0" xfId="0" applyNumberFormat="1"/>
    <xf numFmtId="166" fontId="0" fillId="0" borderId="0" xfId="3" applyNumberFormat="1" applyFont="1"/>
    <xf numFmtId="0" fontId="0" fillId="0" borderId="0" xfId="0" applyAlignment="1">
      <alignment horizontal="left" indent="4"/>
    </xf>
    <xf numFmtId="0" fontId="0" fillId="0" borderId="0" xfId="0" applyFill="1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8" borderId="0" xfId="0" applyFill="1"/>
    <xf numFmtId="0" fontId="0" fillId="7" borderId="0" xfId="0" applyFill="1"/>
    <xf numFmtId="0" fontId="0" fillId="10" borderId="0" xfId="0" applyFill="1"/>
    <xf numFmtId="166" fontId="0" fillId="2" borderId="0" xfId="3" applyNumberFormat="1" applyFont="1" applyFill="1"/>
    <xf numFmtId="0" fontId="1" fillId="6" borderId="0" xfId="0" applyFont="1" applyFill="1"/>
    <xf numFmtId="166" fontId="0" fillId="10" borderId="0" xfId="0" applyNumberFormat="1" applyFill="1"/>
    <xf numFmtId="166" fontId="0" fillId="0" borderId="0" xfId="0" applyNumberFormat="1" applyFill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5" xfId="0" applyBorder="1"/>
    <xf numFmtId="0" fontId="0" fillId="0" borderId="0" xfId="0" applyBorder="1"/>
    <xf numFmtId="0" fontId="0" fillId="0" borderId="0" xfId="0" applyFill="1" applyBorder="1"/>
    <xf numFmtId="166" fontId="1" fillId="0" borderId="0" xfId="3" applyNumberFormat="1" applyFont="1"/>
    <xf numFmtId="166" fontId="0" fillId="10" borderId="0" xfId="3" applyNumberFormat="1" applyFont="1" applyFill="1"/>
    <xf numFmtId="166" fontId="0" fillId="11" borderId="0" xfId="3" applyNumberFormat="1" applyFont="1" applyFill="1"/>
    <xf numFmtId="166" fontId="0" fillId="11" borderId="0" xfId="3" applyNumberFormat="1" applyFont="1" applyFill="1" applyAlignment="1">
      <alignment horizontal="center" vertical="center"/>
    </xf>
    <xf numFmtId="166" fontId="1" fillId="11" borderId="0" xfId="3" applyNumberFormat="1" applyFont="1" applyFill="1" applyAlignment="1">
      <alignment horizontal="center" vertical="center"/>
    </xf>
    <xf numFmtId="167" fontId="0" fillId="11" borderId="0" xfId="3" applyNumberFormat="1" applyFont="1" applyFill="1"/>
    <xf numFmtId="165" fontId="0" fillId="0" borderId="0" xfId="0" applyNumberFormat="1" applyFill="1"/>
    <xf numFmtId="164" fontId="0" fillId="0" borderId="0" xfId="0" applyNumberFormat="1" applyFill="1"/>
    <xf numFmtId="17" fontId="0" fillId="10" borderId="0" xfId="0" applyNumberFormat="1" applyFill="1"/>
    <xf numFmtId="164" fontId="6" fillId="10" borderId="0" xfId="1" applyNumberFormat="1" applyFont="1" applyFill="1"/>
    <xf numFmtId="9" fontId="0" fillId="10" borderId="0" xfId="2" applyFont="1" applyFill="1"/>
    <xf numFmtId="0" fontId="1" fillId="12" borderId="0" xfId="0" applyFont="1" applyFill="1"/>
    <xf numFmtId="164" fontId="1" fillId="12" borderId="0" xfId="0" applyNumberFormat="1" applyFont="1" applyFill="1"/>
    <xf numFmtId="164" fontId="0" fillId="12" borderId="0" xfId="1" applyNumberFormat="1" applyFont="1" applyFill="1"/>
    <xf numFmtId="0" fontId="0" fillId="8" borderId="0" xfId="0" applyFill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13" borderId="1" xfId="0" applyFill="1" applyBorder="1"/>
    <xf numFmtId="0" fontId="0" fillId="13" borderId="3" xfId="0" applyFill="1" applyBorder="1" applyAlignment="1">
      <alignment wrapText="1"/>
    </xf>
    <xf numFmtId="0" fontId="0" fillId="13" borderId="0" xfId="0" applyFill="1" applyBorder="1"/>
    <xf numFmtId="166" fontId="1" fillId="2" borderId="0" xfId="3" applyNumberFormat="1" applyFont="1" applyFill="1"/>
    <xf numFmtId="166" fontId="0" fillId="2" borderId="0" xfId="0" applyNumberFormat="1" applyFill="1"/>
    <xf numFmtId="0" fontId="0" fillId="2" borderId="0" xfId="0" applyFill="1"/>
    <xf numFmtId="44" fontId="0" fillId="10" borderId="0" xfId="1" applyFont="1" applyFill="1"/>
    <xf numFmtId="164" fontId="0" fillId="10" borderId="0" xfId="1" applyNumberFormat="1" applyFont="1" applyFill="1"/>
    <xf numFmtId="2" fontId="0" fillId="10" borderId="0" xfId="0" applyNumberFormat="1" applyFill="1"/>
    <xf numFmtId="167" fontId="0" fillId="10" borderId="0" xfId="3" applyNumberFormat="1" applyFont="1" applyFill="1"/>
    <xf numFmtId="168" fontId="0" fillId="2" borderId="0" xfId="0" applyNumberFormat="1" applyFill="1"/>
    <xf numFmtId="168" fontId="0" fillId="0" borderId="0" xfId="0" applyNumberFormat="1" applyFill="1"/>
    <xf numFmtId="166" fontId="0" fillId="2" borderId="0" xfId="3" applyNumberFormat="1" applyFont="1" applyFill="1" applyAlignment="1">
      <alignment horizontal="center" vertical="center"/>
    </xf>
    <xf numFmtId="166" fontId="0" fillId="0" borderId="0" xfId="0" applyNumberFormat="1"/>
    <xf numFmtId="0" fontId="0" fillId="0" borderId="0" xfId="0" applyAlignment="1">
      <alignment wrapText="1"/>
    </xf>
    <xf numFmtId="0" fontId="7" fillId="0" borderId="0" xfId="0" applyFont="1"/>
    <xf numFmtId="1" fontId="0" fillId="0" borderId="0" xfId="0" applyNumberFormat="1"/>
    <xf numFmtId="0" fontId="1" fillId="0" borderId="0" xfId="0" applyFont="1" applyAlignment="1">
      <alignment horizontal="center"/>
    </xf>
    <xf numFmtId="0" fontId="1" fillId="9" borderId="6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8" borderId="6" xfId="0" applyFill="1" applyBorder="1" applyAlignment="1">
      <alignment vertical="center"/>
    </xf>
    <xf numFmtId="0" fontId="0" fillId="8" borderId="6" xfId="0" applyFill="1" applyBorder="1" applyAlignment="1">
      <alignment horizontal="center" vertical="center"/>
    </xf>
    <xf numFmtId="0" fontId="0" fillId="5" borderId="6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left" vertical="center" wrapText="1"/>
    </xf>
    <xf numFmtId="0" fontId="0" fillId="7" borderId="6" xfId="0" applyFill="1" applyBorder="1" applyAlignment="1">
      <alignment vertical="center"/>
    </xf>
    <xf numFmtId="0" fontId="0" fillId="7" borderId="6" xfId="0" applyFill="1" applyBorder="1" applyAlignment="1">
      <alignment horizontal="center" vertical="center"/>
    </xf>
    <xf numFmtId="0" fontId="0" fillId="7" borderId="6" xfId="0" applyFill="1" applyBorder="1" applyAlignment="1">
      <alignment horizontal="left" vertical="center" wrapText="1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/>
    </xf>
    <xf numFmtId="0" fontId="0" fillId="5" borderId="6" xfId="0" applyFill="1" applyBorder="1" applyAlignment="1">
      <alignment vertical="center" wrapText="1"/>
    </xf>
    <xf numFmtId="0" fontId="0" fillId="8" borderId="6" xfId="0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0" fillId="7" borderId="6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0" borderId="3" xfId="0" applyBorder="1"/>
    <xf numFmtId="0" fontId="0" fillId="10" borderId="3" xfId="0" applyFill="1" applyBorder="1"/>
    <xf numFmtId="9" fontId="0" fillId="10" borderId="3" xfId="2" applyFont="1" applyFill="1" applyBorder="1"/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6" borderId="0" xfId="0" applyFont="1" applyFill="1"/>
    <xf numFmtId="0" fontId="8" fillId="6" borderId="0" xfId="0" applyFont="1" applyFill="1"/>
    <xf numFmtId="0" fontId="0" fillId="8" borderId="0" xfId="0" applyFill="1" applyAlignment="1">
      <alignment horizontal="center"/>
    </xf>
    <xf numFmtId="0" fontId="1" fillId="14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0" fillId="10" borderId="0" xfId="0" applyFill="1" applyAlignment="1">
      <alignment horizontal="left"/>
    </xf>
    <xf numFmtId="0" fontId="0" fillId="5" borderId="7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left" vertical="center" wrapText="1"/>
    </xf>
    <xf numFmtId="0" fontId="0" fillId="8" borderId="9" xfId="0" applyFill="1" applyBorder="1" applyAlignment="1">
      <alignment horizontal="left" vertical="center" wrapText="1"/>
    </xf>
    <xf numFmtId="0" fontId="0" fillId="8" borderId="8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="115" zoomScaleNormal="115" workbookViewId="0">
      <selection activeCell="B6" sqref="B6"/>
    </sheetView>
  </sheetViews>
  <sheetFormatPr defaultRowHeight="15" x14ac:dyDescent="0.25"/>
  <cols>
    <col min="1" max="1" width="28.5703125" customWidth="1"/>
    <col min="2" max="2" width="13.28515625" bestFit="1" customWidth="1"/>
  </cols>
  <sheetData>
    <row r="1" spans="1:15" ht="21" x14ac:dyDescent="0.35">
      <c r="A1" s="7" t="s">
        <v>20</v>
      </c>
    </row>
    <row r="2" spans="1:15" x14ac:dyDescent="0.25">
      <c r="A2" s="5" t="s">
        <v>9</v>
      </c>
      <c r="B2" s="99" t="s">
        <v>45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x14ac:dyDescent="0.25">
      <c r="A3" s="4" t="s">
        <v>10</v>
      </c>
      <c r="B3" s="99" t="s">
        <v>46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x14ac:dyDescent="0.25">
      <c r="A4" s="5" t="s">
        <v>11</v>
      </c>
      <c r="B4" s="99" t="s">
        <v>47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5" x14ac:dyDescent="0.25">
      <c r="A5" s="4" t="s">
        <v>12</v>
      </c>
      <c r="B5" s="99" t="s">
        <v>224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6" spans="1:15" x14ac:dyDescent="0.25">
      <c r="A6" s="5" t="s">
        <v>13</v>
      </c>
      <c r="B6" s="42">
        <v>41525</v>
      </c>
    </row>
    <row r="7" spans="1:15" x14ac:dyDescent="0.25">
      <c r="A7" s="4" t="s">
        <v>14</v>
      </c>
      <c r="B7" s="42">
        <v>42402</v>
      </c>
    </row>
    <row r="8" spans="1:15" x14ac:dyDescent="0.25">
      <c r="A8" s="5" t="s">
        <v>15</v>
      </c>
      <c r="B8" s="43">
        <v>200000</v>
      </c>
    </row>
    <row r="10" spans="1:15" ht="18.75" x14ac:dyDescent="0.3">
      <c r="A10" s="9" t="s">
        <v>21</v>
      </c>
    </row>
    <row r="11" spans="1:15" x14ac:dyDescent="0.25">
      <c r="A11" s="4" t="s">
        <v>16</v>
      </c>
      <c r="B11" s="23">
        <v>7</v>
      </c>
      <c r="C11" t="str">
        <f>IF(B11&lt;1,"Please enter a valid analysis time frame (in year)","")</f>
        <v/>
      </c>
    </row>
    <row r="12" spans="1:15" x14ac:dyDescent="0.25">
      <c r="A12" s="5" t="s">
        <v>154</v>
      </c>
      <c r="B12" s="44">
        <v>0.02</v>
      </c>
    </row>
    <row r="13" spans="1:15" x14ac:dyDescent="0.25">
      <c r="A13" s="4" t="s">
        <v>192</v>
      </c>
      <c r="B13" s="23">
        <v>2018</v>
      </c>
    </row>
    <row r="14" spans="1:15" x14ac:dyDescent="0.25">
      <c r="A14" t="str">
        <f>"Total cost (in "&amp;B13 &amp;" dollars)"</f>
        <v>Total cost (in 2018 dollars)</v>
      </c>
      <c r="B14" s="41">
        <f>B8*(1+B12)^(B13-YEAR(B7))</f>
        <v>208080</v>
      </c>
    </row>
    <row r="18" spans="1:2" ht="18.75" x14ac:dyDescent="0.3">
      <c r="A18" s="9" t="s">
        <v>22</v>
      </c>
    </row>
    <row r="19" spans="1:2" x14ac:dyDescent="0.25">
      <c r="A19" t="s">
        <v>23</v>
      </c>
      <c r="B19" s="45" t="str">
        <f>ROUND(B20/B14,0) &amp; ":1"</f>
        <v>43:1</v>
      </c>
    </row>
    <row r="20" spans="1:2" x14ac:dyDescent="0.25">
      <c r="A20" t="str">
        <f>"Total benefits (in "&amp;B13 &amp;" dollars)"</f>
        <v>Total benefits (in 2018 dollars)</v>
      </c>
      <c r="B20" s="46">
        <f>SUM(B21:B29)</f>
        <v>9006480.6194746923</v>
      </c>
    </row>
    <row r="21" spans="1:2" x14ac:dyDescent="0.25">
      <c r="A21" s="17" t="s">
        <v>125</v>
      </c>
      <c r="B21" s="14">
        <f>'1.Eng&amp;Admin'!$B$22</f>
        <v>0</v>
      </c>
    </row>
    <row r="22" spans="1:2" x14ac:dyDescent="0.25">
      <c r="A22" s="17" t="s">
        <v>126</v>
      </c>
      <c r="B22" s="14">
        <f>'2.Cons&amp;Inst'!$B$22</f>
        <v>-6251851.4545454551</v>
      </c>
    </row>
    <row r="23" spans="1:2" x14ac:dyDescent="0.25">
      <c r="A23" s="17" t="s">
        <v>127</v>
      </c>
      <c r="B23" s="14">
        <f>'3.Ops&amp;Maint'!$B$22</f>
        <v>15248418.181818128</v>
      </c>
    </row>
    <row r="24" spans="1:2" x14ac:dyDescent="0.25">
      <c r="A24" s="17" t="s">
        <v>43</v>
      </c>
      <c r="B24" s="14">
        <f>'4.Lifecycle'!$B$21</f>
        <v>0</v>
      </c>
    </row>
    <row r="25" spans="1:2" x14ac:dyDescent="0.25">
      <c r="A25" s="17" t="s">
        <v>128</v>
      </c>
      <c r="B25" s="14">
        <f>'5.Road_users'!$B$16</f>
        <v>0</v>
      </c>
    </row>
    <row r="26" spans="1:2" x14ac:dyDescent="0.25">
      <c r="A26" s="17" t="s">
        <v>44</v>
      </c>
      <c r="B26" s="14">
        <f>'6.Safety'!$B$25</f>
        <v>0</v>
      </c>
    </row>
    <row r="27" spans="1:2" x14ac:dyDescent="0.25">
      <c r="A27" s="17" t="s">
        <v>223</v>
      </c>
      <c r="B27" s="14">
        <f>'7.Environment'!$B$29</f>
        <v>9913.8922020202153</v>
      </c>
    </row>
    <row r="28" spans="1:2" x14ac:dyDescent="0.25">
      <c r="A28" s="17" t="s">
        <v>129</v>
      </c>
      <c r="B28" s="14">
        <f>'8.Risk_Mgmt'!$B$16</f>
        <v>0</v>
      </c>
    </row>
    <row r="29" spans="1:2" x14ac:dyDescent="0.25">
      <c r="A29" s="17" t="s">
        <v>1</v>
      </c>
      <c r="B29" s="14">
        <f>'9.Others'!$B$16</f>
        <v>0</v>
      </c>
    </row>
  </sheetData>
  <mergeCells count="4">
    <mergeCell ref="B2:O2"/>
    <mergeCell ref="B3:O3"/>
    <mergeCell ref="B4:O4"/>
    <mergeCell ref="B5:O5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G27"/>
  <sheetViews>
    <sheetView zoomScaleNormal="100" workbookViewId="0">
      <selection activeCell="A12" sqref="A12"/>
    </sheetView>
  </sheetViews>
  <sheetFormatPr defaultRowHeight="15" x14ac:dyDescent="0.25"/>
  <cols>
    <col min="1" max="1" width="69.7109375" bestFit="1" customWidth="1"/>
    <col min="2" max="2" width="15.42578125" customWidth="1"/>
    <col min="3" max="3" width="14.7109375" customWidth="1"/>
    <col min="4" max="5" width="14.140625" customWidth="1"/>
    <col min="6" max="6" width="16.42578125" customWidth="1"/>
    <col min="7" max="7" width="11.5703125" customWidth="1"/>
  </cols>
  <sheetData>
    <row r="1" spans="1:7" ht="18.75" x14ac:dyDescent="0.3">
      <c r="A1" s="9" t="s">
        <v>42</v>
      </c>
      <c r="B1" s="8"/>
      <c r="C1" s="8"/>
      <c r="D1" s="8"/>
      <c r="E1" s="8"/>
    </row>
    <row r="2" spans="1:7" ht="18.75" x14ac:dyDescent="0.3">
      <c r="A2" s="11"/>
      <c r="B2" s="18"/>
      <c r="C2" s="18"/>
      <c r="D2" s="18"/>
      <c r="E2" s="18"/>
    </row>
    <row r="3" spans="1:7" ht="18.75" x14ac:dyDescent="0.3">
      <c r="A3" s="9" t="s">
        <v>147</v>
      </c>
      <c r="B3" s="8"/>
      <c r="C3" s="8"/>
      <c r="D3" s="8"/>
      <c r="E3" s="8"/>
    </row>
    <row r="4" spans="1:7" ht="30" x14ac:dyDescent="0.25">
      <c r="A4" s="93" t="s">
        <v>40</v>
      </c>
      <c r="B4" s="49" t="s">
        <v>239</v>
      </c>
    </row>
    <row r="5" spans="1:7" x14ac:dyDescent="0.25">
      <c r="A5" t="s">
        <v>36</v>
      </c>
      <c r="B5" s="57">
        <v>11295400</v>
      </c>
      <c r="C5" t="s">
        <v>240</v>
      </c>
    </row>
    <row r="6" spans="1:7" x14ac:dyDescent="0.25">
      <c r="A6" t="s">
        <v>37</v>
      </c>
      <c r="B6" s="57">
        <v>655000</v>
      </c>
    </row>
    <row r="7" spans="1:7" x14ac:dyDescent="0.25">
      <c r="A7" t="s">
        <v>38</v>
      </c>
      <c r="B7" s="57">
        <v>198500</v>
      </c>
    </row>
    <row r="8" spans="1:7" x14ac:dyDescent="0.25">
      <c r="A8" t="s">
        <v>39</v>
      </c>
      <c r="B8" s="57">
        <v>125600</v>
      </c>
    </row>
    <row r="9" spans="1:7" x14ac:dyDescent="0.25">
      <c r="A9" t="s">
        <v>41</v>
      </c>
      <c r="B9" s="57">
        <v>11900</v>
      </c>
    </row>
    <row r="11" spans="1:7" x14ac:dyDescent="0.25">
      <c r="C11" s="15"/>
    </row>
    <row r="12" spans="1:7" ht="18.75" x14ac:dyDescent="0.3">
      <c r="A12" s="9" t="s">
        <v>148</v>
      </c>
      <c r="B12" s="9"/>
      <c r="C12" s="8"/>
      <c r="D12" s="8"/>
      <c r="E12" s="8"/>
      <c r="F12" s="8"/>
    </row>
    <row r="13" spans="1:7" ht="60" x14ac:dyDescent="0.25">
      <c r="A13" s="93" t="s">
        <v>40</v>
      </c>
      <c r="B13" s="49" t="s">
        <v>149</v>
      </c>
      <c r="C13" s="49" t="s">
        <v>187</v>
      </c>
      <c r="D13" s="49" t="s">
        <v>188</v>
      </c>
      <c r="E13" s="49" t="s">
        <v>189</v>
      </c>
      <c r="F13" s="49" t="s">
        <v>190</v>
      </c>
      <c r="G13" s="49" t="s">
        <v>35</v>
      </c>
    </row>
    <row r="14" spans="1:7" x14ac:dyDescent="0.25">
      <c r="A14" t="s">
        <v>36</v>
      </c>
      <c r="B14" s="58">
        <v>1</v>
      </c>
      <c r="C14" s="59">
        <v>0</v>
      </c>
      <c r="D14" s="39">
        <v>0</v>
      </c>
      <c r="E14" s="60">
        <f>C14-D14</f>
        <v>0</v>
      </c>
      <c r="F14" s="60">
        <f>E14*B5</f>
        <v>0</v>
      </c>
    </row>
    <row r="15" spans="1:7" x14ac:dyDescent="0.25">
      <c r="A15" t="s">
        <v>37</v>
      </c>
      <c r="B15" s="58">
        <v>1</v>
      </c>
      <c r="C15" s="59">
        <v>0</v>
      </c>
      <c r="D15" s="39">
        <v>0</v>
      </c>
      <c r="E15" s="60">
        <f t="shared" ref="E15:E18" si="0">C15-D15</f>
        <v>0</v>
      </c>
      <c r="F15" s="60">
        <f t="shared" ref="F15:F18" si="1">E15*B6</f>
        <v>0</v>
      </c>
    </row>
    <row r="16" spans="1:7" x14ac:dyDescent="0.25">
      <c r="A16" t="s">
        <v>38</v>
      </c>
      <c r="B16" s="58">
        <v>1</v>
      </c>
      <c r="C16" s="59">
        <v>0</v>
      </c>
      <c r="D16" s="39">
        <v>0</v>
      </c>
      <c r="E16" s="60">
        <f t="shared" si="0"/>
        <v>0</v>
      </c>
      <c r="F16" s="60">
        <f t="shared" si="1"/>
        <v>0</v>
      </c>
    </row>
    <row r="17" spans="1:6" x14ac:dyDescent="0.25">
      <c r="A17" t="s">
        <v>39</v>
      </c>
      <c r="B17" s="58">
        <v>1</v>
      </c>
      <c r="C17" s="59">
        <v>0</v>
      </c>
      <c r="D17" s="39">
        <v>0</v>
      </c>
      <c r="E17" s="60">
        <f t="shared" si="0"/>
        <v>0</v>
      </c>
      <c r="F17" s="60">
        <f t="shared" si="1"/>
        <v>0</v>
      </c>
    </row>
    <row r="18" spans="1:6" x14ac:dyDescent="0.25">
      <c r="A18" t="s">
        <v>41</v>
      </c>
      <c r="B18" s="58">
        <v>1</v>
      </c>
      <c r="C18" s="59">
        <v>0</v>
      </c>
      <c r="D18" s="39">
        <v>0</v>
      </c>
      <c r="E18" s="60">
        <f t="shared" si="0"/>
        <v>0</v>
      </c>
      <c r="F18" s="60">
        <f t="shared" si="1"/>
        <v>0</v>
      </c>
    </row>
    <row r="19" spans="1:6" x14ac:dyDescent="0.25">
      <c r="A19" s="55" t="s">
        <v>138</v>
      </c>
      <c r="C19" s="15"/>
      <c r="E19" s="61"/>
      <c r="F19" s="60">
        <f>SUM(F14:F18)</f>
        <v>0</v>
      </c>
    </row>
    <row r="20" spans="1:6" s="18" customFormat="1" x14ac:dyDescent="0.25">
      <c r="C20" s="40"/>
    </row>
    <row r="21" spans="1:6" s="18" customFormat="1" x14ac:dyDescent="0.25">
      <c r="C21" s="40"/>
    </row>
    <row r="23" spans="1:6" x14ac:dyDescent="0.25">
      <c r="B23" s="14"/>
    </row>
    <row r="24" spans="1:6" x14ac:dyDescent="0.25">
      <c r="A24" t="s">
        <v>191</v>
      </c>
      <c r="B24" s="47">
        <f>F19</f>
        <v>0</v>
      </c>
    </row>
    <row r="25" spans="1:6" x14ac:dyDescent="0.25">
      <c r="A25" t="str">
        <f>"Total safety benefits " &amp; "(for "&amp;General!$B$11&amp;" years)"</f>
        <v>Total safety benefits (for 7 years)</v>
      </c>
      <c r="B25" s="47">
        <f>B24*General!$B$11</f>
        <v>0</v>
      </c>
    </row>
    <row r="27" spans="1:6" x14ac:dyDescent="0.25">
      <c r="A27" s="65" t="str">
        <f>IF(B25=0,"This sheet is not applicable to " &amp; General!$B$3 &amp; " Project","")</f>
        <v>This sheet is not applicable to NETC 9-02 Project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I31"/>
  <sheetViews>
    <sheetView topLeftCell="A4" zoomScaleNormal="100" workbookViewId="0">
      <selection activeCell="C21" sqref="C21"/>
    </sheetView>
  </sheetViews>
  <sheetFormatPr defaultRowHeight="15" x14ac:dyDescent="0.25"/>
  <cols>
    <col min="1" max="1" width="42" customWidth="1"/>
    <col min="2" max="2" width="12" customWidth="1"/>
    <col min="3" max="3" width="9.140625" customWidth="1"/>
    <col min="4" max="4" width="12.85546875" customWidth="1"/>
    <col min="5" max="5" width="12" customWidth="1"/>
    <col min="6" max="6" width="11.85546875" customWidth="1"/>
    <col min="7" max="7" width="14.5703125" customWidth="1"/>
    <col min="8" max="8" width="14.28515625" customWidth="1"/>
    <col min="9" max="9" width="48.42578125" customWidth="1"/>
  </cols>
  <sheetData>
    <row r="1" spans="1:9" ht="18.75" x14ac:dyDescent="0.3">
      <c r="A1" s="9" t="s">
        <v>130</v>
      </c>
      <c r="B1" s="8"/>
      <c r="C1" s="8"/>
      <c r="D1" s="8"/>
    </row>
    <row r="3" spans="1:9" x14ac:dyDescent="0.25">
      <c r="A3" s="25" t="s">
        <v>85</v>
      </c>
      <c r="B3" s="8"/>
      <c r="C3" s="8"/>
      <c r="D3" s="8"/>
    </row>
    <row r="4" spans="1:9" ht="60" x14ac:dyDescent="0.25">
      <c r="A4" s="93" t="s">
        <v>34</v>
      </c>
      <c r="B4" s="93" t="s">
        <v>29</v>
      </c>
      <c r="C4" s="49" t="s">
        <v>88</v>
      </c>
      <c r="D4" s="49" t="s">
        <v>175</v>
      </c>
      <c r="E4" s="49" t="s">
        <v>163</v>
      </c>
      <c r="F4" s="49" t="s">
        <v>176</v>
      </c>
      <c r="G4" s="49" t="s">
        <v>164</v>
      </c>
      <c r="H4" s="93" t="s">
        <v>35</v>
      </c>
    </row>
    <row r="5" spans="1:9" x14ac:dyDescent="0.25">
      <c r="A5" s="21" t="s">
        <v>87</v>
      </c>
      <c r="B5" s="96" t="s">
        <v>234</v>
      </c>
      <c r="C5" s="56">
        <v>0</v>
      </c>
      <c r="D5" s="35">
        <v>0</v>
      </c>
      <c r="E5" s="35">
        <v>0</v>
      </c>
      <c r="F5" s="24">
        <f>D5*$C5</f>
        <v>0</v>
      </c>
      <c r="G5" s="24">
        <f>E5*$C5</f>
        <v>0</v>
      </c>
    </row>
    <row r="6" spans="1:9" x14ac:dyDescent="0.25">
      <c r="A6" s="21" t="s">
        <v>87</v>
      </c>
      <c r="B6" s="96" t="s">
        <v>234</v>
      </c>
      <c r="C6" s="56">
        <v>0</v>
      </c>
      <c r="D6" s="35">
        <v>0</v>
      </c>
      <c r="E6" s="35">
        <v>0</v>
      </c>
      <c r="F6" s="24">
        <f t="shared" ref="F6:G7" si="0">D6*$C6</f>
        <v>0</v>
      </c>
      <c r="G6" s="24">
        <f t="shared" si="0"/>
        <v>0</v>
      </c>
    </row>
    <row r="7" spans="1:9" x14ac:dyDescent="0.25">
      <c r="A7" s="21" t="s">
        <v>87</v>
      </c>
      <c r="B7" s="96" t="s">
        <v>234</v>
      </c>
      <c r="C7" s="56">
        <v>0</v>
      </c>
      <c r="D7" s="35">
        <v>0</v>
      </c>
      <c r="E7" s="35">
        <v>0</v>
      </c>
      <c r="F7" s="24">
        <f t="shared" si="0"/>
        <v>0</v>
      </c>
      <c r="G7" s="24">
        <f t="shared" si="0"/>
        <v>0</v>
      </c>
    </row>
    <row r="8" spans="1:9" x14ac:dyDescent="0.25">
      <c r="A8" s="55" t="s">
        <v>31</v>
      </c>
      <c r="F8" s="54">
        <f>SUM(F5:F7)</f>
        <v>0</v>
      </c>
      <c r="G8" s="54">
        <f>SUM(G5:G7)</f>
        <v>0</v>
      </c>
    </row>
    <row r="11" spans="1:9" x14ac:dyDescent="0.25">
      <c r="A11" s="25" t="s">
        <v>89</v>
      </c>
      <c r="B11" s="8"/>
      <c r="C11" s="8"/>
      <c r="D11" s="8"/>
    </row>
    <row r="12" spans="1:9" ht="60" x14ac:dyDescent="0.25">
      <c r="A12" s="93" t="s">
        <v>90</v>
      </c>
      <c r="B12" s="93" t="s">
        <v>29</v>
      </c>
      <c r="C12" s="49" t="s">
        <v>177</v>
      </c>
      <c r="D12" s="49" t="s">
        <v>165</v>
      </c>
      <c r="E12" s="49" t="s">
        <v>178</v>
      </c>
      <c r="F12" s="49" t="s">
        <v>166</v>
      </c>
      <c r="G12" s="49" t="s">
        <v>176</v>
      </c>
      <c r="H12" s="49" t="s">
        <v>164</v>
      </c>
      <c r="I12" s="93" t="s">
        <v>35</v>
      </c>
    </row>
    <row r="13" spans="1:9" x14ac:dyDescent="0.25">
      <c r="A13" s="21" t="s">
        <v>91</v>
      </c>
      <c r="B13" s="96" t="s">
        <v>137</v>
      </c>
      <c r="C13" s="56">
        <v>0</v>
      </c>
      <c r="D13" s="56">
        <v>0</v>
      </c>
      <c r="E13" s="35">
        <v>0</v>
      </c>
      <c r="F13" s="35">
        <v>0</v>
      </c>
      <c r="G13" s="24">
        <f t="shared" ref="G13" si="1">E13*C13</f>
        <v>0</v>
      </c>
      <c r="H13" s="24">
        <f t="shared" ref="H13" si="2">F13*D13</f>
        <v>0</v>
      </c>
    </row>
    <row r="14" spans="1:9" x14ac:dyDescent="0.25">
      <c r="A14" s="21" t="s">
        <v>86</v>
      </c>
      <c r="B14" s="96" t="s">
        <v>137</v>
      </c>
      <c r="C14" s="56">
        <v>0</v>
      </c>
      <c r="D14" s="56">
        <v>0</v>
      </c>
      <c r="E14" s="35">
        <v>0</v>
      </c>
      <c r="F14" s="35">
        <v>0</v>
      </c>
      <c r="G14" s="24">
        <f t="shared" ref="G14:H16" si="3">E14*C14</f>
        <v>0</v>
      </c>
      <c r="H14" s="24">
        <f t="shared" si="3"/>
        <v>0</v>
      </c>
    </row>
    <row r="15" spans="1:9" x14ac:dyDescent="0.25">
      <c r="A15" s="21" t="s">
        <v>92</v>
      </c>
      <c r="B15" s="96" t="s">
        <v>137</v>
      </c>
      <c r="C15" s="56">
        <v>0</v>
      </c>
      <c r="D15" s="56">
        <v>0</v>
      </c>
      <c r="E15" s="35">
        <v>0</v>
      </c>
      <c r="F15" s="35">
        <v>0</v>
      </c>
      <c r="G15" s="24">
        <f t="shared" si="3"/>
        <v>0</v>
      </c>
      <c r="H15" s="24">
        <f t="shared" si="3"/>
        <v>0</v>
      </c>
    </row>
    <row r="16" spans="1:9" x14ac:dyDescent="0.25">
      <c r="A16" s="21" t="s">
        <v>93</v>
      </c>
      <c r="B16" s="96" t="s">
        <v>137</v>
      </c>
      <c r="C16" s="56">
        <v>0</v>
      </c>
      <c r="D16" s="56">
        <v>0</v>
      </c>
      <c r="E16" s="35">
        <v>0</v>
      </c>
      <c r="F16" s="35">
        <v>0</v>
      </c>
      <c r="G16" s="24">
        <f t="shared" si="3"/>
        <v>0</v>
      </c>
      <c r="H16" s="24">
        <f t="shared" si="3"/>
        <v>0</v>
      </c>
    </row>
    <row r="17" spans="1:9" x14ac:dyDescent="0.25">
      <c r="A17" s="55" t="s">
        <v>31</v>
      </c>
      <c r="G17" s="54">
        <f>SUM(G13:G16)</f>
        <v>0</v>
      </c>
      <c r="H17" s="54">
        <f>SUM(H13:H16)</f>
        <v>0</v>
      </c>
    </row>
    <row r="18" spans="1:9" s="18" customFormat="1" x14ac:dyDescent="0.25">
      <c r="G18" s="27"/>
      <c r="H18" s="27"/>
    </row>
    <row r="20" spans="1:9" x14ac:dyDescent="0.25">
      <c r="A20" s="25" t="s">
        <v>97</v>
      </c>
      <c r="B20" s="8"/>
      <c r="C20" s="8"/>
      <c r="D20" s="8"/>
    </row>
    <row r="21" spans="1:9" ht="60" x14ac:dyDescent="0.25">
      <c r="A21" s="93" t="s">
        <v>90</v>
      </c>
      <c r="B21" s="93" t="s">
        <v>29</v>
      </c>
      <c r="C21" s="49" t="s">
        <v>177</v>
      </c>
      <c r="D21" s="49" t="s">
        <v>165</v>
      </c>
      <c r="E21" s="49" t="s">
        <v>178</v>
      </c>
      <c r="F21" s="49" t="s">
        <v>166</v>
      </c>
      <c r="G21" s="49" t="s">
        <v>176</v>
      </c>
      <c r="H21" s="49" t="s">
        <v>164</v>
      </c>
      <c r="I21" s="93" t="s">
        <v>35</v>
      </c>
    </row>
    <row r="22" spans="1:9" ht="30" x14ac:dyDescent="0.25">
      <c r="A22" s="21" t="s">
        <v>98</v>
      </c>
      <c r="B22" s="96" t="s">
        <v>208</v>
      </c>
      <c r="C22" s="56">
        <v>40</v>
      </c>
      <c r="D22" s="56">
        <v>40</v>
      </c>
      <c r="E22" s="35">
        <f>'Inputs&amp;Assumptions'!$B$55</f>
        <v>3180.8646464646463</v>
      </c>
      <c r="F22" s="35">
        <f>'Inputs&amp;Assumptions'!$C$55+'Inputs&amp;Assumptions'!$D$55</f>
        <v>2933.0173414141409</v>
      </c>
      <c r="G22" s="3">
        <f t="shared" ref="G22:G24" si="4">E22*C22</f>
        <v>127234.58585858585</v>
      </c>
      <c r="H22" s="3">
        <f t="shared" ref="H22:H24" si="5">F22*D22</f>
        <v>117320.69365656564</v>
      </c>
      <c r="I22" s="64" t="s">
        <v>209</v>
      </c>
    </row>
    <row r="23" spans="1:9" x14ac:dyDescent="0.25">
      <c r="A23" s="21" t="s">
        <v>86</v>
      </c>
      <c r="B23" s="96" t="s">
        <v>29</v>
      </c>
      <c r="C23" s="56">
        <v>0</v>
      </c>
      <c r="D23" s="56">
        <v>0</v>
      </c>
      <c r="E23" s="35">
        <v>0</v>
      </c>
      <c r="F23" s="35">
        <v>0</v>
      </c>
      <c r="G23" s="3">
        <f t="shared" si="4"/>
        <v>0</v>
      </c>
      <c r="H23" s="3">
        <f t="shared" si="5"/>
        <v>0</v>
      </c>
    </row>
    <row r="24" spans="1:9" x14ac:dyDescent="0.25">
      <c r="A24" s="21" t="s">
        <v>92</v>
      </c>
      <c r="B24" s="96" t="s">
        <v>29</v>
      </c>
      <c r="C24" s="56">
        <v>0</v>
      </c>
      <c r="D24" s="56">
        <v>0</v>
      </c>
      <c r="E24" s="35">
        <v>0</v>
      </c>
      <c r="F24" s="35">
        <v>0</v>
      </c>
      <c r="G24" s="3">
        <f t="shared" si="4"/>
        <v>0</v>
      </c>
      <c r="H24" s="3">
        <f t="shared" si="5"/>
        <v>0</v>
      </c>
    </row>
    <row r="25" spans="1:9" x14ac:dyDescent="0.25">
      <c r="A25" s="55" t="s">
        <v>31</v>
      </c>
      <c r="G25" s="3">
        <f>SUM(G22:G24)</f>
        <v>127234.58585858585</v>
      </c>
      <c r="H25" s="3">
        <f>SUM(H22:H24)</f>
        <v>117320.69365656564</v>
      </c>
    </row>
    <row r="27" spans="1:9" x14ac:dyDescent="0.25">
      <c r="A27" t="s">
        <v>184</v>
      </c>
      <c r="B27" s="14">
        <f>F8+G17+G25</f>
        <v>127234.58585858585</v>
      </c>
    </row>
    <row r="28" spans="1:9" x14ac:dyDescent="0.25">
      <c r="A28" t="s">
        <v>172</v>
      </c>
      <c r="B28" s="14">
        <f>G8+H17+H25</f>
        <v>117320.69365656564</v>
      </c>
    </row>
    <row r="29" spans="1:9" x14ac:dyDescent="0.25">
      <c r="A29" t="str">
        <f>"Total Benefits " &amp; "(for "&amp;General!$B$11&amp;" years)"</f>
        <v>Total Benefits (for 7 years)</v>
      </c>
      <c r="B29" s="47">
        <f>B27-B28</f>
        <v>9913.8922020202153</v>
      </c>
    </row>
    <row r="31" spans="1:9" x14ac:dyDescent="0.25">
      <c r="A31" s="65" t="str">
        <f>IF($B$29=0,"This sheet is not applicable to " &amp; General!$B$3 &amp; " Project","")</f>
        <v/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I18"/>
  <sheetViews>
    <sheetView workbookViewId="0">
      <selection activeCell="A5" sqref="A5"/>
    </sheetView>
  </sheetViews>
  <sheetFormatPr defaultRowHeight="15" x14ac:dyDescent="0.25"/>
  <cols>
    <col min="1" max="1" width="42" customWidth="1"/>
    <col min="2" max="2" width="15" customWidth="1"/>
    <col min="3" max="3" width="9.140625" customWidth="1"/>
    <col min="4" max="4" width="12" customWidth="1"/>
    <col min="6" max="6" width="14" customWidth="1"/>
    <col min="7" max="7" width="14.7109375" customWidth="1"/>
    <col min="8" max="8" width="13.5703125" customWidth="1"/>
    <col min="9" max="9" width="16.42578125" customWidth="1"/>
  </cols>
  <sheetData>
    <row r="1" spans="1:9" ht="18.75" x14ac:dyDescent="0.3">
      <c r="A1" s="9" t="s">
        <v>150</v>
      </c>
      <c r="B1" s="8"/>
      <c r="C1" s="8"/>
      <c r="D1" s="8"/>
    </row>
    <row r="4" spans="1:9" x14ac:dyDescent="0.25">
      <c r="A4" s="25" t="s">
        <v>151</v>
      </c>
      <c r="B4" s="8"/>
      <c r="C4" s="8"/>
      <c r="D4" s="8"/>
    </row>
    <row r="5" spans="1:9" ht="60" x14ac:dyDescent="0.25">
      <c r="A5" s="93" t="s">
        <v>146</v>
      </c>
      <c r="B5" s="93" t="s">
        <v>29</v>
      </c>
      <c r="C5" s="49" t="s">
        <v>177</v>
      </c>
      <c r="D5" s="49" t="s">
        <v>165</v>
      </c>
      <c r="E5" s="49" t="s">
        <v>178</v>
      </c>
      <c r="F5" s="49" t="s">
        <v>166</v>
      </c>
      <c r="G5" s="49" t="s">
        <v>176</v>
      </c>
      <c r="H5" s="49" t="s">
        <v>164</v>
      </c>
      <c r="I5" s="93" t="s">
        <v>35</v>
      </c>
    </row>
    <row r="6" spans="1:9" x14ac:dyDescent="0.25">
      <c r="A6" s="21" t="s">
        <v>91</v>
      </c>
      <c r="B6" s="96" t="s">
        <v>137</v>
      </c>
      <c r="C6" s="56">
        <v>0</v>
      </c>
      <c r="D6" s="56">
        <v>0</v>
      </c>
      <c r="E6" s="35">
        <v>0</v>
      </c>
      <c r="F6" s="35">
        <v>0</v>
      </c>
      <c r="G6" s="24">
        <f>E6*C6</f>
        <v>0</v>
      </c>
      <c r="H6" s="24">
        <f>F6*D6</f>
        <v>0</v>
      </c>
    </row>
    <row r="7" spans="1:9" x14ac:dyDescent="0.25">
      <c r="A7" s="21" t="s">
        <v>86</v>
      </c>
      <c r="B7" s="96" t="s">
        <v>137</v>
      </c>
      <c r="C7" s="56">
        <v>0</v>
      </c>
      <c r="D7" s="56">
        <v>0</v>
      </c>
      <c r="E7" s="35">
        <v>0</v>
      </c>
      <c r="F7" s="35">
        <v>0</v>
      </c>
      <c r="G7" s="24">
        <f t="shared" ref="G7:H9" si="0">E7*C7</f>
        <v>0</v>
      </c>
      <c r="H7" s="24">
        <f t="shared" si="0"/>
        <v>0</v>
      </c>
    </row>
    <row r="8" spans="1:9" x14ac:dyDescent="0.25">
      <c r="A8" s="21" t="s">
        <v>92</v>
      </c>
      <c r="B8" s="96" t="s">
        <v>137</v>
      </c>
      <c r="C8" s="56">
        <v>0</v>
      </c>
      <c r="D8" s="56">
        <v>0</v>
      </c>
      <c r="E8" s="35">
        <v>0</v>
      </c>
      <c r="F8" s="35">
        <v>0</v>
      </c>
      <c r="G8" s="24">
        <f t="shared" si="0"/>
        <v>0</v>
      </c>
      <c r="H8" s="24">
        <f t="shared" si="0"/>
        <v>0</v>
      </c>
    </row>
    <row r="9" spans="1:9" x14ac:dyDescent="0.25">
      <c r="A9" s="21" t="s">
        <v>93</v>
      </c>
      <c r="B9" s="96" t="s">
        <v>137</v>
      </c>
      <c r="C9" s="56">
        <v>0</v>
      </c>
      <c r="D9" s="56">
        <v>0</v>
      </c>
      <c r="E9" s="35">
        <v>0</v>
      </c>
      <c r="F9" s="35">
        <v>0</v>
      </c>
      <c r="G9" s="24">
        <f t="shared" si="0"/>
        <v>0</v>
      </c>
      <c r="H9" s="24">
        <f t="shared" si="0"/>
        <v>0</v>
      </c>
    </row>
    <row r="10" spans="1:9" x14ac:dyDescent="0.25">
      <c r="A10" s="55" t="s">
        <v>138</v>
      </c>
      <c r="G10" s="54">
        <f>SUM(G6:G9)</f>
        <v>0</v>
      </c>
      <c r="H10" s="54">
        <f>SUM(H6:H9)</f>
        <v>0</v>
      </c>
    </row>
    <row r="13" spans="1:9" x14ac:dyDescent="0.25">
      <c r="A13" t="s">
        <v>185</v>
      </c>
      <c r="B13" s="14">
        <f>G10</f>
        <v>0</v>
      </c>
    </row>
    <row r="14" spans="1:9" x14ac:dyDescent="0.25">
      <c r="A14" t="s">
        <v>173</v>
      </c>
      <c r="B14" s="14">
        <f>H10</f>
        <v>0</v>
      </c>
    </row>
    <row r="15" spans="1:9" x14ac:dyDescent="0.25">
      <c r="A15" t="s">
        <v>118</v>
      </c>
      <c r="B15" s="47">
        <f>B13-B14</f>
        <v>0</v>
      </c>
    </row>
    <row r="16" spans="1:9" x14ac:dyDescent="0.25">
      <c r="A16" t="str">
        <f>"Total Benefits " &amp; "(for "&amp;General!$B$11&amp;" years)"</f>
        <v>Total Benefits (for 7 years)</v>
      </c>
      <c r="B16" s="47">
        <f>B15*General!$B$11</f>
        <v>0</v>
      </c>
    </row>
    <row r="18" spans="1:1" x14ac:dyDescent="0.25">
      <c r="A18" s="65" t="str">
        <f>IF(B16=0,"This sheet is not applicable to " &amp; General!$B$3 &amp; " Project","")</f>
        <v>This sheet is not applicable to NETC 9-02 Project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I18"/>
  <sheetViews>
    <sheetView workbookViewId="0">
      <selection activeCell="A5" sqref="A5"/>
    </sheetView>
  </sheetViews>
  <sheetFormatPr defaultRowHeight="15" x14ac:dyDescent="0.25"/>
  <cols>
    <col min="1" max="1" width="42" customWidth="1"/>
    <col min="2" max="2" width="15" customWidth="1"/>
    <col min="3" max="3" width="10.7109375" customWidth="1"/>
    <col min="4" max="4" width="13" customWidth="1"/>
    <col min="6" max="6" width="11.85546875" customWidth="1"/>
    <col min="7" max="7" width="12" customWidth="1"/>
    <col min="8" max="8" width="12.85546875" customWidth="1"/>
    <col min="9" max="9" width="16.42578125" customWidth="1"/>
  </cols>
  <sheetData>
    <row r="1" spans="1:9" ht="18.75" x14ac:dyDescent="0.3">
      <c r="A1" s="9" t="s">
        <v>152</v>
      </c>
      <c r="B1" s="8"/>
      <c r="C1" s="8"/>
      <c r="D1" s="8"/>
    </row>
    <row r="4" spans="1:9" x14ac:dyDescent="0.25">
      <c r="A4" s="25" t="s">
        <v>153</v>
      </c>
      <c r="B4" s="8"/>
      <c r="C4" s="8"/>
      <c r="D4" s="8"/>
    </row>
    <row r="5" spans="1:9" ht="45" x14ac:dyDescent="0.25">
      <c r="A5" s="93" t="s">
        <v>146</v>
      </c>
      <c r="B5" s="93" t="s">
        <v>29</v>
      </c>
      <c r="C5" s="49" t="s">
        <v>177</v>
      </c>
      <c r="D5" s="49" t="s">
        <v>165</v>
      </c>
      <c r="E5" s="49" t="s">
        <v>178</v>
      </c>
      <c r="F5" s="49" t="s">
        <v>166</v>
      </c>
      <c r="G5" s="49" t="s">
        <v>176</v>
      </c>
      <c r="H5" s="49" t="s">
        <v>164</v>
      </c>
      <c r="I5" s="93" t="s">
        <v>35</v>
      </c>
    </row>
    <row r="6" spans="1:9" x14ac:dyDescent="0.25">
      <c r="A6" s="21" t="s">
        <v>91</v>
      </c>
      <c r="B6" s="96" t="s">
        <v>137</v>
      </c>
      <c r="C6" s="56">
        <v>0</v>
      </c>
      <c r="D6" s="56">
        <v>0</v>
      </c>
      <c r="E6" s="35">
        <v>0</v>
      </c>
      <c r="F6" s="35">
        <v>0</v>
      </c>
      <c r="G6" s="24">
        <f>E6*C6</f>
        <v>0</v>
      </c>
      <c r="H6" s="24">
        <f>F6*D6</f>
        <v>0</v>
      </c>
    </row>
    <row r="7" spans="1:9" x14ac:dyDescent="0.25">
      <c r="A7" s="21" t="s">
        <v>86</v>
      </c>
      <c r="B7" s="96" t="s">
        <v>137</v>
      </c>
      <c r="C7" s="56">
        <v>0</v>
      </c>
      <c r="D7" s="56">
        <v>0</v>
      </c>
      <c r="E7" s="35">
        <v>0</v>
      </c>
      <c r="F7" s="35">
        <v>0</v>
      </c>
      <c r="G7" s="24">
        <f t="shared" ref="G7:H9" si="0">E7*C7</f>
        <v>0</v>
      </c>
      <c r="H7" s="24">
        <f t="shared" si="0"/>
        <v>0</v>
      </c>
    </row>
    <row r="8" spans="1:9" x14ac:dyDescent="0.25">
      <c r="A8" s="21" t="s">
        <v>92</v>
      </c>
      <c r="B8" s="96" t="s">
        <v>137</v>
      </c>
      <c r="C8" s="56">
        <v>0</v>
      </c>
      <c r="D8" s="56">
        <v>0</v>
      </c>
      <c r="E8" s="35">
        <v>0</v>
      </c>
      <c r="F8" s="35">
        <v>0</v>
      </c>
      <c r="G8" s="24">
        <f t="shared" si="0"/>
        <v>0</v>
      </c>
      <c r="H8" s="24">
        <f t="shared" si="0"/>
        <v>0</v>
      </c>
    </row>
    <row r="9" spans="1:9" x14ac:dyDescent="0.25">
      <c r="A9" s="21" t="s">
        <v>93</v>
      </c>
      <c r="B9" s="96" t="s">
        <v>137</v>
      </c>
      <c r="C9" s="56">
        <v>0</v>
      </c>
      <c r="D9" s="56">
        <v>0</v>
      </c>
      <c r="E9" s="35">
        <v>0</v>
      </c>
      <c r="F9" s="35">
        <v>0</v>
      </c>
      <c r="G9" s="24">
        <f t="shared" si="0"/>
        <v>0</v>
      </c>
      <c r="H9" s="24">
        <f t="shared" si="0"/>
        <v>0</v>
      </c>
    </row>
    <row r="10" spans="1:9" x14ac:dyDescent="0.25">
      <c r="A10" s="55" t="s">
        <v>138</v>
      </c>
      <c r="G10" s="54">
        <f>SUM(G6:G9)</f>
        <v>0</v>
      </c>
      <c r="H10" s="54">
        <f>SUM(H6:H9)</f>
        <v>0</v>
      </c>
    </row>
    <row r="13" spans="1:9" x14ac:dyDescent="0.25">
      <c r="A13" t="s">
        <v>186</v>
      </c>
      <c r="B13" s="14">
        <f>G10</f>
        <v>0</v>
      </c>
    </row>
    <row r="14" spans="1:9" x14ac:dyDescent="0.25">
      <c r="A14" t="s">
        <v>174</v>
      </c>
      <c r="B14" s="14">
        <f>H10</f>
        <v>0</v>
      </c>
    </row>
    <row r="15" spans="1:9" x14ac:dyDescent="0.25">
      <c r="A15" t="s">
        <v>118</v>
      </c>
      <c r="B15" s="47">
        <f>B13-B14</f>
        <v>0</v>
      </c>
    </row>
    <row r="16" spans="1:9" x14ac:dyDescent="0.25">
      <c r="A16" t="str">
        <f>"Total Benefits " &amp; "(for "&amp;General!$B$11&amp;" years)"</f>
        <v>Total Benefits (for 7 years)</v>
      </c>
      <c r="B16" s="47">
        <f>B15*General!$B$11</f>
        <v>0</v>
      </c>
    </row>
    <row r="18" spans="1:1" x14ac:dyDescent="0.25">
      <c r="A18" s="65" t="str">
        <f>IF(B16=0,"This sheet is not applicable to " &amp; General!$B$3 &amp; " Project","")</f>
        <v>This sheet is not applicable to NETC 9-02 Project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="85" zoomScaleNormal="85" workbookViewId="0">
      <selection activeCell="H3" sqref="H3"/>
    </sheetView>
  </sheetViews>
  <sheetFormatPr defaultRowHeight="15" x14ac:dyDescent="0.25"/>
  <cols>
    <col min="1" max="3" width="3.7109375" customWidth="1"/>
    <col min="4" max="5" width="32.28515625" bestFit="1" customWidth="1"/>
    <col min="6" max="6" width="38.85546875" customWidth="1"/>
    <col min="7" max="7" width="42.85546875" customWidth="1"/>
    <col min="8" max="8" width="57.5703125" customWidth="1"/>
  </cols>
  <sheetData>
    <row r="1" spans="1:8" x14ac:dyDescent="0.25">
      <c r="A1" s="110" t="s">
        <v>19</v>
      </c>
      <c r="B1" s="110"/>
      <c r="C1" s="110"/>
      <c r="D1" s="108" t="s">
        <v>0</v>
      </c>
      <c r="E1" s="108" t="s">
        <v>83</v>
      </c>
      <c r="F1" s="108" t="s">
        <v>7</v>
      </c>
      <c r="G1" s="108" t="s">
        <v>33</v>
      </c>
      <c r="H1" s="108" t="s">
        <v>159</v>
      </c>
    </row>
    <row r="2" spans="1:8" x14ac:dyDescent="0.25">
      <c r="A2" s="68">
        <v>1</v>
      </c>
      <c r="B2" s="68">
        <v>2</v>
      </c>
      <c r="C2" s="68">
        <v>3</v>
      </c>
      <c r="D2" s="109"/>
      <c r="E2" s="109"/>
      <c r="F2" s="109"/>
      <c r="G2" s="109"/>
      <c r="H2" s="109"/>
    </row>
    <row r="3" spans="1:8" s="6" customFormat="1" ht="31.5" customHeight="1" x14ac:dyDescent="0.25">
      <c r="A3" s="69" t="s">
        <v>57</v>
      </c>
      <c r="B3" s="69"/>
      <c r="C3" s="69"/>
      <c r="D3" s="83" t="s">
        <v>63</v>
      </c>
      <c r="E3" s="83" t="s">
        <v>63</v>
      </c>
      <c r="F3" s="83" t="s">
        <v>58</v>
      </c>
      <c r="G3" s="83" t="s">
        <v>64</v>
      </c>
      <c r="H3" s="83" t="s">
        <v>244</v>
      </c>
    </row>
    <row r="4" spans="1:8" s="21" customFormat="1" ht="47.25" customHeight="1" x14ac:dyDescent="0.25">
      <c r="A4" s="70"/>
      <c r="B4" s="71" t="s">
        <v>57</v>
      </c>
      <c r="C4" s="71"/>
      <c r="D4" s="103" t="s">
        <v>81</v>
      </c>
      <c r="E4" s="84" t="s">
        <v>65</v>
      </c>
      <c r="F4" s="84" t="s">
        <v>69</v>
      </c>
      <c r="G4" s="84" t="s">
        <v>66</v>
      </c>
      <c r="H4" s="84" t="s">
        <v>243</v>
      </c>
    </row>
    <row r="5" spans="1:8" s="21" customFormat="1" ht="30" x14ac:dyDescent="0.25">
      <c r="A5" s="70"/>
      <c r="B5" s="71"/>
      <c r="C5" s="71"/>
      <c r="D5" s="104"/>
      <c r="E5" s="84" t="s">
        <v>67</v>
      </c>
      <c r="F5" s="84" t="s">
        <v>70</v>
      </c>
      <c r="G5" s="84" t="s">
        <v>71</v>
      </c>
      <c r="H5" s="84" t="s">
        <v>244</v>
      </c>
    </row>
    <row r="6" spans="1:8" s="21" customFormat="1" ht="48.75" customHeight="1" x14ac:dyDescent="0.25">
      <c r="A6" s="70"/>
      <c r="B6" s="71"/>
      <c r="C6" s="71"/>
      <c r="D6" s="105"/>
      <c r="E6" s="84" t="s">
        <v>68</v>
      </c>
      <c r="F6" s="84" t="s">
        <v>59</v>
      </c>
      <c r="G6" s="84" t="s">
        <v>95</v>
      </c>
      <c r="H6" s="84" t="s">
        <v>193</v>
      </c>
    </row>
    <row r="7" spans="1:8" s="6" customFormat="1" ht="173.25" customHeight="1" x14ac:dyDescent="0.25">
      <c r="A7" s="72"/>
      <c r="B7" s="69"/>
      <c r="C7" s="69" t="s">
        <v>57</v>
      </c>
      <c r="D7" s="100" t="s">
        <v>50</v>
      </c>
      <c r="E7" s="83" t="s">
        <v>72</v>
      </c>
      <c r="F7" s="83" t="s">
        <v>77</v>
      </c>
      <c r="G7" s="83" t="s">
        <v>75</v>
      </c>
      <c r="H7" s="83" t="s">
        <v>246</v>
      </c>
    </row>
    <row r="8" spans="1:8" s="6" customFormat="1" ht="45" x14ac:dyDescent="0.25">
      <c r="A8" s="72"/>
      <c r="B8" s="69"/>
      <c r="C8" s="69" t="s">
        <v>57</v>
      </c>
      <c r="D8" s="101"/>
      <c r="E8" s="83" t="s">
        <v>73</v>
      </c>
      <c r="F8" s="83" t="s">
        <v>78</v>
      </c>
      <c r="G8" s="83" t="s">
        <v>221</v>
      </c>
      <c r="H8" s="83" t="s">
        <v>245</v>
      </c>
    </row>
    <row r="9" spans="1:8" s="6" customFormat="1" ht="30" x14ac:dyDescent="0.25">
      <c r="A9" s="72"/>
      <c r="B9" s="69"/>
      <c r="C9" s="69" t="s">
        <v>57</v>
      </c>
      <c r="D9" s="102"/>
      <c r="E9" s="83" t="s">
        <v>74</v>
      </c>
      <c r="F9" s="83" t="s">
        <v>79</v>
      </c>
      <c r="G9" s="83" t="s">
        <v>76</v>
      </c>
      <c r="H9" s="83" t="s">
        <v>244</v>
      </c>
    </row>
    <row r="10" spans="1:8" s="5" customFormat="1" ht="30" x14ac:dyDescent="0.25">
      <c r="A10" s="73"/>
      <c r="B10" s="74"/>
      <c r="C10" s="74"/>
      <c r="D10" s="75" t="s">
        <v>51</v>
      </c>
      <c r="E10" s="85" t="s">
        <v>52</v>
      </c>
      <c r="F10" s="85" t="s">
        <v>60</v>
      </c>
      <c r="G10" s="85" t="s">
        <v>117</v>
      </c>
      <c r="H10" s="85" t="s">
        <v>244</v>
      </c>
    </row>
    <row r="11" spans="1:8" s="22" customFormat="1" ht="30" x14ac:dyDescent="0.25">
      <c r="A11" s="76"/>
      <c r="B11" s="77"/>
      <c r="C11" s="77"/>
      <c r="D11" s="78" t="s">
        <v>61</v>
      </c>
      <c r="E11" s="86" t="s">
        <v>3</v>
      </c>
      <c r="F11" s="86" t="s">
        <v>18</v>
      </c>
      <c r="G11" s="86" t="s">
        <v>80</v>
      </c>
      <c r="H11" s="86" t="s">
        <v>8</v>
      </c>
    </row>
    <row r="12" spans="1:8" s="4" customFormat="1" ht="30" x14ac:dyDescent="0.25">
      <c r="A12" s="79"/>
      <c r="B12" s="80"/>
      <c r="C12" s="80"/>
      <c r="D12" s="81" t="s">
        <v>4</v>
      </c>
      <c r="E12" s="87" t="s">
        <v>4</v>
      </c>
      <c r="F12" s="87" t="s">
        <v>53</v>
      </c>
      <c r="G12" s="87" t="s">
        <v>80</v>
      </c>
      <c r="H12" s="87" t="s">
        <v>8</v>
      </c>
    </row>
    <row r="13" spans="1:8" s="21" customFormat="1" ht="45" x14ac:dyDescent="0.25">
      <c r="A13" s="70"/>
      <c r="B13" s="71"/>
      <c r="C13" s="71"/>
      <c r="D13" s="103" t="s">
        <v>5</v>
      </c>
      <c r="E13" s="84" t="s">
        <v>2</v>
      </c>
      <c r="F13" s="84" t="s">
        <v>55</v>
      </c>
      <c r="G13" s="84" t="s">
        <v>8</v>
      </c>
      <c r="H13" s="84" t="s">
        <v>8</v>
      </c>
    </row>
    <row r="14" spans="1:8" s="21" customFormat="1" ht="45" x14ac:dyDescent="0.25">
      <c r="A14" s="70"/>
      <c r="B14" s="71"/>
      <c r="C14" s="71"/>
      <c r="D14" s="104"/>
      <c r="E14" s="84" t="s">
        <v>54</v>
      </c>
      <c r="F14" s="84" t="s">
        <v>56</v>
      </c>
      <c r="G14" s="84" t="s">
        <v>8</v>
      </c>
      <c r="H14" s="84" t="s">
        <v>8</v>
      </c>
    </row>
    <row r="15" spans="1:8" s="21" customFormat="1" ht="105" x14ac:dyDescent="0.25">
      <c r="A15" s="70"/>
      <c r="B15" s="71"/>
      <c r="C15" s="71" t="s">
        <v>57</v>
      </c>
      <c r="D15" s="105"/>
      <c r="E15" s="84" t="s">
        <v>62</v>
      </c>
      <c r="F15" s="84" t="s">
        <v>222</v>
      </c>
      <c r="G15" s="84" t="s">
        <v>82</v>
      </c>
      <c r="H15" s="84" t="s">
        <v>242</v>
      </c>
    </row>
    <row r="16" spans="1:8" s="22" customFormat="1" x14ac:dyDescent="0.25">
      <c r="A16" s="76"/>
      <c r="B16" s="77"/>
      <c r="C16" s="77"/>
      <c r="D16" s="78" t="s">
        <v>6</v>
      </c>
      <c r="E16" s="86" t="s">
        <v>6</v>
      </c>
      <c r="F16" s="86" t="s">
        <v>17</v>
      </c>
      <c r="G16" s="86" t="s">
        <v>80</v>
      </c>
      <c r="H16" s="86" t="s">
        <v>8</v>
      </c>
    </row>
    <row r="17" spans="1:12" s="6" customFormat="1" ht="30" x14ac:dyDescent="0.25">
      <c r="A17" s="72"/>
      <c r="B17" s="69"/>
      <c r="C17" s="69"/>
      <c r="D17" s="106" t="s">
        <v>1</v>
      </c>
      <c r="E17" s="83" t="s">
        <v>160</v>
      </c>
      <c r="F17" s="83" t="s">
        <v>161</v>
      </c>
      <c r="G17" s="83" t="s">
        <v>220</v>
      </c>
      <c r="H17" s="83" t="s">
        <v>8</v>
      </c>
    </row>
    <row r="18" spans="1:12" s="6" customFormat="1" x14ac:dyDescent="0.25">
      <c r="A18" s="72"/>
      <c r="B18" s="72"/>
      <c r="C18" s="72"/>
      <c r="D18" s="107"/>
      <c r="E18" s="82" t="s">
        <v>219</v>
      </c>
      <c r="F18" s="83" t="s">
        <v>218</v>
      </c>
      <c r="G18" s="83" t="s">
        <v>220</v>
      </c>
      <c r="H18" s="72" t="s">
        <v>8</v>
      </c>
    </row>
    <row r="19" spans="1:12" s="18" customFormat="1" x14ac:dyDescent="0.25">
      <c r="A19" s="20">
        <v>1</v>
      </c>
      <c r="B19" s="18" t="s">
        <v>48</v>
      </c>
      <c r="E19" s="19"/>
    </row>
    <row r="20" spans="1:12" x14ac:dyDescent="0.25">
      <c r="A20" s="2">
        <v>2</v>
      </c>
      <c r="B20" t="s">
        <v>158</v>
      </c>
      <c r="F20" s="18"/>
      <c r="G20" s="18"/>
      <c r="H20" s="18"/>
      <c r="I20" s="18"/>
      <c r="J20" s="18"/>
      <c r="K20" s="18"/>
      <c r="L20" s="18"/>
    </row>
    <row r="21" spans="1:12" x14ac:dyDescent="0.25">
      <c r="A21" s="2">
        <v>3</v>
      </c>
      <c r="B21" t="s">
        <v>49</v>
      </c>
      <c r="F21" s="18"/>
      <c r="G21" s="18"/>
    </row>
    <row r="22" spans="1:12" x14ac:dyDescent="0.25">
      <c r="F22" s="18"/>
      <c r="G22" s="18"/>
    </row>
  </sheetData>
  <mergeCells count="10">
    <mergeCell ref="A1:C1"/>
    <mergeCell ref="D1:D2"/>
    <mergeCell ref="E1:E2"/>
    <mergeCell ref="F1:F2"/>
    <mergeCell ref="G1:G2"/>
    <mergeCell ref="D7:D9"/>
    <mergeCell ref="D13:D15"/>
    <mergeCell ref="D17:D18"/>
    <mergeCell ref="D4:D6"/>
    <mergeCell ref="H1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55"/>
  <sheetViews>
    <sheetView topLeftCell="A24" zoomScaleNormal="100" workbookViewId="0">
      <selection activeCell="F38" sqref="F38"/>
    </sheetView>
  </sheetViews>
  <sheetFormatPr defaultRowHeight="15" x14ac:dyDescent="0.25"/>
  <cols>
    <col min="1" max="1" width="14.85546875" customWidth="1"/>
    <col min="2" max="2" width="17.5703125" customWidth="1"/>
    <col min="3" max="3" width="16" customWidth="1"/>
    <col min="4" max="4" width="15.5703125" customWidth="1"/>
    <col min="5" max="5" width="15.140625" customWidth="1"/>
    <col min="6" max="6" width="14.140625" customWidth="1"/>
    <col min="7" max="7" width="9.28515625" customWidth="1"/>
    <col min="8" max="8" width="10.28515625" customWidth="1"/>
    <col min="9" max="9" width="12.5703125" customWidth="1"/>
    <col min="12" max="12" width="8.7109375" customWidth="1"/>
    <col min="13" max="13" width="6.85546875" customWidth="1"/>
  </cols>
  <sheetData>
    <row r="1" spans="1:13" x14ac:dyDescent="0.25">
      <c r="A1" s="25" t="s">
        <v>109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x14ac:dyDescent="0.25">
      <c r="A2" s="28"/>
      <c r="B2" s="29" t="s">
        <v>194</v>
      </c>
      <c r="C2" s="28"/>
      <c r="D2" s="28"/>
      <c r="E2" s="28"/>
      <c r="F2" s="28"/>
      <c r="G2" s="28"/>
      <c r="H2" s="50" t="s">
        <v>195</v>
      </c>
      <c r="I2" s="50"/>
      <c r="J2" s="50"/>
      <c r="K2" s="50"/>
      <c r="L2" s="50"/>
      <c r="M2" s="50"/>
    </row>
    <row r="3" spans="1:13" ht="45" x14ac:dyDescent="0.25">
      <c r="A3" s="30"/>
      <c r="B3" s="91" t="s">
        <v>99</v>
      </c>
      <c r="C3" s="92" t="s">
        <v>100</v>
      </c>
      <c r="D3" s="92" t="s">
        <v>101</v>
      </c>
      <c r="E3" s="92" t="s">
        <v>102</v>
      </c>
      <c r="F3" s="92" t="s">
        <v>103</v>
      </c>
      <c r="G3" s="92" t="s">
        <v>104</v>
      </c>
      <c r="H3" s="51" t="s">
        <v>99</v>
      </c>
      <c r="I3" s="51" t="s">
        <v>105</v>
      </c>
      <c r="J3" s="51" t="s">
        <v>100</v>
      </c>
      <c r="K3" s="51" t="s">
        <v>106</v>
      </c>
      <c r="L3" s="51" t="s">
        <v>107</v>
      </c>
      <c r="M3" s="51" t="s">
        <v>104</v>
      </c>
    </row>
    <row r="4" spans="1:13" x14ac:dyDescent="0.25">
      <c r="A4" t="s">
        <v>24</v>
      </c>
      <c r="B4" s="31">
        <v>213</v>
      </c>
      <c r="C4">
        <v>412</v>
      </c>
      <c r="D4">
        <v>500</v>
      </c>
      <c r="E4">
        <v>1901</v>
      </c>
      <c r="F4">
        <v>799</v>
      </c>
      <c r="G4">
        <v>8847</v>
      </c>
      <c r="H4" s="52">
        <v>1650</v>
      </c>
      <c r="I4" s="52">
        <v>973</v>
      </c>
      <c r="J4" s="52">
        <v>1817</v>
      </c>
      <c r="K4" s="52">
        <v>3781</v>
      </c>
      <c r="L4" s="52">
        <v>3863</v>
      </c>
      <c r="M4" s="52">
        <v>20796</v>
      </c>
    </row>
    <row r="5" spans="1:13" x14ac:dyDescent="0.25">
      <c r="A5" t="s">
        <v>25</v>
      </c>
      <c r="B5" s="31">
        <v>1253</v>
      </c>
      <c r="C5">
        <v>1613</v>
      </c>
      <c r="D5">
        <v>2053</v>
      </c>
      <c r="E5">
        <v>6455</v>
      </c>
      <c r="F5">
        <v>4358</v>
      </c>
      <c r="G5">
        <v>24655</v>
      </c>
      <c r="H5" s="52">
        <v>276</v>
      </c>
      <c r="I5" s="52">
        <v>76</v>
      </c>
      <c r="J5" s="52">
        <v>380</v>
      </c>
      <c r="K5" s="52">
        <v>545</v>
      </c>
      <c r="L5" s="52">
        <v>1087</v>
      </c>
      <c r="M5" s="52">
        <v>3999</v>
      </c>
    </row>
    <row r="6" spans="1:13" x14ac:dyDescent="0.25">
      <c r="A6" t="s">
        <v>26</v>
      </c>
      <c r="B6" s="31">
        <v>417</v>
      </c>
      <c r="C6">
        <v>390</v>
      </c>
      <c r="D6">
        <v>809</v>
      </c>
      <c r="E6">
        <v>2290</v>
      </c>
      <c r="F6">
        <v>1551</v>
      </c>
      <c r="G6">
        <v>10815</v>
      </c>
      <c r="H6" s="52">
        <v>2795</v>
      </c>
      <c r="I6" s="52">
        <v>1331</v>
      </c>
      <c r="J6" s="52">
        <v>4501</v>
      </c>
      <c r="K6" s="52">
        <v>7825</v>
      </c>
      <c r="L6" s="52">
        <v>5854</v>
      </c>
      <c r="M6" s="52">
        <v>37622</v>
      </c>
    </row>
    <row r="7" spans="1:13" x14ac:dyDescent="0.25">
      <c r="A7" t="s">
        <v>108</v>
      </c>
      <c r="B7" s="31">
        <v>617</v>
      </c>
      <c r="C7">
        <v>808</v>
      </c>
      <c r="D7">
        <v>947</v>
      </c>
      <c r="E7">
        <v>2197</v>
      </c>
      <c r="F7">
        <v>2290</v>
      </c>
      <c r="G7">
        <v>15774</v>
      </c>
      <c r="H7" s="52">
        <v>375</v>
      </c>
      <c r="I7" s="52">
        <v>252</v>
      </c>
      <c r="J7" s="52">
        <v>533</v>
      </c>
      <c r="K7" s="52">
        <v>1071</v>
      </c>
      <c r="L7" s="52">
        <v>1011</v>
      </c>
      <c r="M7" s="52">
        <v>7121</v>
      </c>
    </row>
    <row r="8" spans="1:13" x14ac:dyDescent="0.25">
      <c r="A8" t="s">
        <v>27</v>
      </c>
      <c r="B8" s="31">
        <v>86</v>
      </c>
      <c r="C8">
        <v>108</v>
      </c>
      <c r="D8">
        <v>143</v>
      </c>
      <c r="E8">
        <v>295</v>
      </c>
      <c r="F8">
        <v>248</v>
      </c>
      <c r="G8">
        <v>1619</v>
      </c>
      <c r="H8" s="52">
        <v>304</v>
      </c>
      <c r="I8" s="52">
        <v>358</v>
      </c>
      <c r="J8" s="52">
        <v>978</v>
      </c>
      <c r="K8" s="52">
        <v>722</v>
      </c>
      <c r="L8" s="52">
        <v>1226</v>
      </c>
      <c r="M8" s="52">
        <v>7433</v>
      </c>
    </row>
    <row r="9" spans="1:13" x14ac:dyDescent="0.25">
      <c r="A9" t="s">
        <v>28</v>
      </c>
      <c r="B9" s="31">
        <v>1119</v>
      </c>
      <c r="C9">
        <v>726</v>
      </c>
      <c r="D9">
        <v>1469</v>
      </c>
      <c r="E9">
        <v>4022</v>
      </c>
      <c r="F9">
        <v>1778</v>
      </c>
      <c r="G9">
        <v>17482</v>
      </c>
      <c r="H9" s="52">
        <v>161</v>
      </c>
      <c r="I9" s="52">
        <v>53</v>
      </c>
      <c r="J9" s="52">
        <v>240</v>
      </c>
      <c r="K9" s="52">
        <v>307</v>
      </c>
      <c r="L9" s="52">
        <v>434</v>
      </c>
      <c r="M9" s="52">
        <v>1850</v>
      </c>
    </row>
    <row r="10" spans="1:13" x14ac:dyDescent="0.25">
      <c r="B10" s="32"/>
      <c r="H10" s="33"/>
      <c r="I10" s="33"/>
      <c r="J10" s="33"/>
      <c r="K10" s="33"/>
      <c r="L10" s="33"/>
      <c r="M10" s="33"/>
    </row>
    <row r="12" spans="1:13" x14ac:dyDescent="0.25">
      <c r="A12" s="25" t="s">
        <v>241</v>
      </c>
      <c r="B12" s="8"/>
      <c r="C12" s="8"/>
      <c r="D12" s="8"/>
      <c r="E12" s="8"/>
      <c r="F12" s="8"/>
      <c r="G12" s="8"/>
      <c r="H12" s="25" t="s">
        <v>35</v>
      </c>
      <c r="I12" s="8"/>
      <c r="J12" s="8"/>
      <c r="K12" s="8"/>
      <c r="L12" s="8"/>
      <c r="M12" s="8"/>
    </row>
    <row r="13" spans="1:13" x14ac:dyDescent="0.25">
      <c r="A13" s="88" t="s">
        <v>230</v>
      </c>
      <c r="B13" s="88"/>
      <c r="C13" s="88"/>
      <c r="D13" s="88"/>
      <c r="E13" s="88"/>
      <c r="F13" s="88" t="s">
        <v>112</v>
      </c>
      <c r="G13" s="89">
        <v>30</v>
      </c>
      <c r="H13" s="88" t="s">
        <v>210</v>
      </c>
      <c r="I13" s="88"/>
      <c r="J13" s="88"/>
      <c r="K13" s="88"/>
      <c r="L13" s="88"/>
      <c r="M13" s="88"/>
    </row>
    <row r="14" spans="1:13" x14ac:dyDescent="0.25">
      <c r="A14" s="88" t="s">
        <v>231</v>
      </c>
      <c r="B14" s="88"/>
      <c r="C14" s="88"/>
      <c r="D14" s="88"/>
      <c r="E14" s="88"/>
      <c r="F14" s="88" t="s">
        <v>113</v>
      </c>
      <c r="G14" s="89">
        <v>4</v>
      </c>
      <c r="H14" s="88" t="s">
        <v>225</v>
      </c>
      <c r="I14" s="88"/>
      <c r="J14" s="88"/>
      <c r="K14" s="88"/>
      <c r="L14" s="88"/>
      <c r="M14" s="88"/>
    </row>
    <row r="15" spans="1:13" x14ac:dyDescent="0.25">
      <c r="A15" s="88" t="s">
        <v>232</v>
      </c>
      <c r="B15" s="88"/>
      <c r="C15" s="88"/>
      <c r="D15" s="88"/>
      <c r="E15" s="88"/>
      <c r="F15" s="88" t="s">
        <v>114</v>
      </c>
      <c r="G15" s="89">
        <v>3</v>
      </c>
      <c r="H15" s="88" t="s">
        <v>225</v>
      </c>
      <c r="I15" s="88"/>
      <c r="J15" s="88"/>
      <c r="K15" s="88"/>
      <c r="L15" s="88"/>
      <c r="M15" s="88"/>
    </row>
    <row r="16" spans="1:13" x14ac:dyDescent="0.25">
      <c r="A16" s="88" t="s">
        <v>233</v>
      </c>
      <c r="B16" s="88"/>
      <c r="C16" s="88"/>
      <c r="D16" s="88"/>
      <c r="E16" s="88"/>
      <c r="F16" s="88" t="s">
        <v>115</v>
      </c>
      <c r="G16" s="89">
        <v>2</v>
      </c>
      <c r="H16" s="88" t="s">
        <v>225</v>
      </c>
      <c r="I16" s="88"/>
      <c r="J16" s="88"/>
      <c r="K16" s="88"/>
      <c r="L16" s="88"/>
      <c r="M16" s="88"/>
    </row>
    <row r="17" spans="1:13" x14ac:dyDescent="0.25">
      <c r="A17" s="88" t="s">
        <v>226</v>
      </c>
      <c r="B17" s="88"/>
      <c r="C17" s="88"/>
      <c r="D17" s="88"/>
      <c r="E17" s="88"/>
      <c r="F17" s="88" t="s">
        <v>116</v>
      </c>
      <c r="G17" s="89">
        <v>1</v>
      </c>
      <c r="H17" s="88" t="s">
        <v>225</v>
      </c>
      <c r="I17" s="88"/>
      <c r="J17" s="88"/>
      <c r="K17" s="88"/>
      <c r="L17" s="88"/>
      <c r="M17" s="88"/>
    </row>
    <row r="18" spans="1:13" x14ac:dyDescent="0.25">
      <c r="A18" s="88" t="s">
        <v>227</v>
      </c>
      <c r="B18" s="88"/>
      <c r="C18" s="88"/>
      <c r="D18" s="88"/>
      <c r="E18" s="88"/>
      <c r="F18" s="88" t="s">
        <v>120</v>
      </c>
      <c r="G18" s="89">
        <v>0.5</v>
      </c>
      <c r="H18" s="88" t="s">
        <v>225</v>
      </c>
      <c r="I18" s="88"/>
      <c r="J18" s="88"/>
      <c r="K18" s="88"/>
      <c r="L18" s="88"/>
      <c r="M18" s="88"/>
    </row>
    <row r="19" spans="1:13" x14ac:dyDescent="0.25">
      <c r="A19" s="88" t="s">
        <v>119</v>
      </c>
      <c r="B19" s="88"/>
      <c r="C19" s="88"/>
      <c r="D19" s="88"/>
      <c r="E19" s="88"/>
      <c r="F19" s="88" t="s">
        <v>121</v>
      </c>
      <c r="G19" s="89">
        <v>1</v>
      </c>
      <c r="H19" s="88" t="s">
        <v>228</v>
      </c>
      <c r="I19" s="88"/>
      <c r="J19" s="88"/>
      <c r="K19" s="88"/>
      <c r="L19" s="88"/>
      <c r="M19" s="88"/>
    </row>
    <row r="20" spans="1:13" x14ac:dyDescent="0.25">
      <c r="A20" s="88" t="s">
        <v>123</v>
      </c>
      <c r="B20" s="88"/>
      <c r="C20" s="88"/>
      <c r="D20" s="88"/>
      <c r="E20" s="88"/>
      <c r="F20" s="88" t="s">
        <v>122</v>
      </c>
      <c r="G20" s="89">
        <v>5</v>
      </c>
      <c r="H20" s="88" t="s">
        <v>211</v>
      </c>
      <c r="I20" s="88"/>
      <c r="J20" s="88"/>
      <c r="K20" s="88"/>
      <c r="L20" s="88"/>
      <c r="M20" s="88"/>
    </row>
    <row r="21" spans="1:13" x14ac:dyDescent="0.25">
      <c r="A21" s="88" t="s">
        <v>229</v>
      </c>
      <c r="B21" s="88"/>
      <c r="C21" s="88"/>
      <c r="D21" s="88"/>
      <c r="E21" s="88"/>
      <c r="F21" s="88" t="s">
        <v>124</v>
      </c>
      <c r="G21" s="89">
        <v>22.4</v>
      </c>
      <c r="H21" s="88" t="s">
        <v>215</v>
      </c>
      <c r="I21" s="88"/>
      <c r="J21" s="88"/>
      <c r="K21" s="88"/>
      <c r="L21" s="88"/>
      <c r="M21" s="88"/>
    </row>
    <row r="22" spans="1:13" x14ac:dyDescent="0.25">
      <c r="A22" s="88" t="s">
        <v>216</v>
      </c>
      <c r="B22" s="88"/>
      <c r="C22" s="88"/>
      <c r="D22" s="88"/>
      <c r="E22" s="88"/>
      <c r="F22" s="88"/>
      <c r="G22" s="90">
        <v>0.8</v>
      </c>
      <c r="H22" s="88" t="s">
        <v>225</v>
      </c>
      <c r="I22" s="88"/>
      <c r="J22" s="88"/>
      <c r="K22" s="88"/>
      <c r="L22" s="88"/>
      <c r="M22" s="88"/>
    </row>
    <row r="24" spans="1:13" x14ac:dyDescent="0.25">
      <c r="A24" s="25" t="s">
        <v>196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x14ac:dyDescent="0.25">
      <c r="B25" s="1" t="s">
        <v>110</v>
      </c>
      <c r="C25" s="1" t="s">
        <v>111</v>
      </c>
      <c r="D25" s="1" t="s">
        <v>101</v>
      </c>
      <c r="E25" s="1" t="s">
        <v>102</v>
      </c>
      <c r="F25" s="1" t="s">
        <v>103</v>
      </c>
      <c r="G25" s="1" t="s">
        <v>31</v>
      </c>
    </row>
    <row r="26" spans="1:13" x14ac:dyDescent="0.25">
      <c r="A26" t="s">
        <v>24</v>
      </c>
      <c r="B26" s="16">
        <f t="shared" ref="B26:B31" si="0">B4*5280*$G$13*$G$14/43560</f>
        <v>3098.181818181818</v>
      </c>
      <c r="C26" s="16">
        <f t="shared" ref="C26:C31" si="1">C4*5280*$G$13*$G$15/43560</f>
        <v>4494.545454545455</v>
      </c>
      <c r="D26" s="16">
        <f t="shared" ref="D26:D31" si="2">D4*5280*$G$13*$G$16/43560</f>
        <v>3636.3636363636365</v>
      </c>
      <c r="E26" s="16">
        <f t="shared" ref="E26:E31" si="3">E4*5280*$G$13*$G$17/43560</f>
        <v>6912.727272727273</v>
      </c>
      <c r="F26" s="16">
        <f t="shared" ref="F26:F31" si="4">F4*5280*$G$13*$G$18/43560</f>
        <v>1452.7272727272727</v>
      </c>
      <c r="G26" s="36">
        <f>SUM(B26:F26)</f>
        <v>19594.545454545456</v>
      </c>
    </row>
    <row r="27" spans="1:13" x14ac:dyDescent="0.25">
      <c r="A27" t="s">
        <v>25</v>
      </c>
      <c r="B27" s="16">
        <f t="shared" si="0"/>
        <v>18225.454545454544</v>
      </c>
      <c r="C27" s="16">
        <f t="shared" si="1"/>
        <v>17596.363636363636</v>
      </c>
      <c r="D27" s="16">
        <f t="shared" si="2"/>
        <v>14930.90909090909</v>
      </c>
      <c r="E27" s="16">
        <f t="shared" si="3"/>
        <v>23472.727272727272</v>
      </c>
      <c r="F27" s="16">
        <f t="shared" si="4"/>
        <v>7923.636363636364</v>
      </c>
      <c r="G27" s="36">
        <f t="shared" ref="G27:G31" si="5">SUM(B27:F27)</f>
        <v>82149.090909090897</v>
      </c>
    </row>
    <row r="28" spans="1:13" x14ac:dyDescent="0.25">
      <c r="A28" t="s">
        <v>26</v>
      </c>
      <c r="B28" s="16">
        <f t="shared" si="0"/>
        <v>6065.454545454545</v>
      </c>
      <c r="C28" s="16">
        <f t="shared" si="1"/>
        <v>4254.545454545455</v>
      </c>
      <c r="D28" s="16">
        <f t="shared" si="2"/>
        <v>5883.636363636364</v>
      </c>
      <c r="E28" s="16">
        <f t="shared" si="3"/>
        <v>8327.2727272727279</v>
      </c>
      <c r="F28" s="16">
        <f t="shared" si="4"/>
        <v>2820</v>
      </c>
      <c r="G28" s="36">
        <f t="shared" si="5"/>
        <v>27350.909090909092</v>
      </c>
    </row>
    <row r="29" spans="1:13" x14ac:dyDescent="0.25">
      <c r="A29" t="s">
        <v>108</v>
      </c>
      <c r="B29" s="16">
        <f t="shared" si="0"/>
        <v>8974.545454545454</v>
      </c>
      <c r="C29" s="16">
        <f t="shared" si="1"/>
        <v>8814.545454545454</v>
      </c>
      <c r="D29" s="16">
        <f t="shared" si="2"/>
        <v>6887.272727272727</v>
      </c>
      <c r="E29" s="16">
        <f t="shared" si="3"/>
        <v>7989.090909090909</v>
      </c>
      <c r="F29" s="16">
        <f t="shared" si="4"/>
        <v>4163.636363636364</v>
      </c>
      <c r="G29" s="36">
        <f t="shared" si="5"/>
        <v>36829.090909090912</v>
      </c>
    </row>
    <row r="30" spans="1:13" x14ac:dyDescent="0.25">
      <c r="A30" t="s">
        <v>27</v>
      </c>
      <c r="B30" s="16">
        <f t="shared" si="0"/>
        <v>1250.909090909091</v>
      </c>
      <c r="C30" s="16">
        <f t="shared" si="1"/>
        <v>1178.1818181818182</v>
      </c>
      <c r="D30" s="16">
        <f t="shared" si="2"/>
        <v>1040</v>
      </c>
      <c r="E30" s="16">
        <f t="shared" si="3"/>
        <v>1072.7272727272727</v>
      </c>
      <c r="F30" s="16">
        <f t="shared" si="4"/>
        <v>450.90909090909093</v>
      </c>
      <c r="G30" s="36">
        <f t="shared" si="5"/>
        <v>4992.727272727273</v>
      </c>
    </row>
    <row r="31" spans="1:13" x14ac:dyDescent="0.25">
      <c r="A31" t="s">
        <v>28</v>
      </c>
      <c r="B31" s="16">
        <f t="shared" si="0"/>
        <v>16276.363636363636</v>
      </c>
      <c r="C31" s="16">
        <f t="shared" si="1"/>
        <v>7920</v>
      </c>
      <c r="D31" s="16">
        <f t="shared" si="2"/>
        <v>10683.636363636364</v>
      </c>
      <c r="E31" s="16">
        <f t="shared" si="3"/>
        <v>14625.454545454546</v>
      </c>
      <c r="F31" s="16">
        <f t="shared" si="4"/>
        <v>3232.7272727272725</v>
      </c>
      <c r="G31" s="36">
        <f t="shared" si="5"/>
        <v>52738.181818181816</v>
      </c>
    </row>
    <row r="32" spans="1:13" x14ac:dyDescent="0.25">
      <c r="A32" t="s">
        <v>31</v>
      </c>
      <c r="B32" s="16"/>
      <c r="C32" s="16"/>
      <c r="D32" s="34"/>
      <c r="E32" s="16"/>
      <c r="F32" s="16"/>
      <c r="G32" s="53">
        <f>SUM(G26:G31)</f>
        <v>223654.54545454544</v>
      </c>
    </row>
    <row r="33" spans="1:13" x14ac:dyDescent="0.25">
      <c r="B33" s="16"/>
      <c r="C33" s="16"/>
      <c r="D33" s="34"/>
      <c r="E33" s="16"/>
      <c r="F33" s="16"/>
      <c r="G33" s="53"/>
    </row>
    <row r="34" spans="1:13" x14ac:dyDescent="0.25">
      <c r="B34" s="16"/>
      <c r="C34" s="16"/>
      <c r="D34" s="34"/>
      <c r="E34" s="16"/>
      <c r="F34" s="16"/>
      <c r="G34" s="53"/>
    </row>
    <row r="35" spans="1:13" x14ac:dyDescent="0.25">
      <c r="A35" s="25" t="str">
        <f>"Total areas of grass that need mowing/maintenance (in acre, "&amp;General!$B$11&amp;" years)"</f>
        <v>Total areas of grass that need mowing/maintenance (in acre, 7 years)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90" x14ac:dyDescent="0.25">
      <c r="B36" s="49" t="s">
        <v>200</v>
      </c>
      <c r="C36" s="49" t="s">
        <v>199</v>
      </c>
      <c r="D36" s="49" t="s">
        <v>201</v>
      </c>
    </row>
    <row r="37" spans="1:13" x14ac:dyDescent="0.25">
      <c r="A37" t="s">
        <v>24</v>
      </c>
      <c r="B37" s="63">
        <f>G26*General!$B$11</f>
        <v>137161.81818181818</v>
      </c>
      <c r="C37" s="16">
        <f>General!$B$11*G26-D37</f>
        <v>82297.090909090897</v>
      </c>
      <c r="D37" s="16">
        <f>Deploy_schedule!C16</f>
        <v>54864.727272727279</v>
      </c>
    </row>
    <row r="38" spans="1:13" x14ac:dyDescent="0.25">
      <c r="A38" t="s">
        <v>25</v>
      </c>
      <c r="B38" s="63">
        <f>G27*General!$B$11</f>
        <v>575043.63636363624</v>
      </c>
      <c r="C38" s="16">
        <f>General!$B$11*G27-D38</f>
        <v>368027.92727272713</v>
      </c>
      <c r="D38" s="16">
        <f>Deploy_schedule!C17</f>
        <v>207015.70909090908</v>
      </c>
    </row>
    <row r="39" spans="1:13" x14ac:dyDescent="0.25">
      <c r="A39" t="s">
        <v>26</v>
      </c>
      <c r="B39" s="63">
        <f>G28*General!$B$11</f>
        <v>191456.36363636365</v>
      </c>
      <c r="C39" s="16">
        <f>General!$B$11*G28-D39</f>
        <v>130190.32727272729</v>
      </c>
      <c r="D39" s="16">
        <f>Deploy_schedule!C18</f>
        <v>61266.036363636362</v>
      </c>
    </row>
    <row r="40" spans="1:13" x14ac:dyDescent="0.25">
      <c r="A40" t="s">
        <v>108</v>
      </c>
      <c r="B40" s="63">
        <f>G29*General!$B$11</f>
        <v>257803.63636363638</v>
      </c>
      <c r="C40" s="16">
        <f>General!$B$11*G29-D40</f>
        <v>134057.8909090909</v>
      </c>
      <c r="D40" s="16">
        <f>Deploy_schedule!C19</f>
        <v>123745.74545454548</v>
      </c>
    </row>
    <row r="41" spans="1:13" x14ac:dyDescent="0.25">
      <c r="A41" t="s">
        <v>27</v>
      </c>
      <c r="B41" s="63">
        <f>G30*General!$B$11</f>
        <v>34949.090909090912</v>
      </c>
      <c r="C41" s="16">
        <f>General!$B$11*G30-D41</f>
        <v>19571.490909090913</v>
      </c>
      <c r="D41" s="16">
        <f>Deploy_schedule!C20</f>
        <v>15377.6</v>
      </c>
    </row>
    <row r="42" spans="1:13" x14ac:dyDescent="0.25">
      <c r="A42" t="s">
        <v>28</v>
      </c>
      <c r="B42" s="63">
        <f>G31*General!$B$11</f>
        <v>369167.27272727271</v>
      </c>
      <c r="C42" s="16">
        <f>General!$B$11*G31-D42</f>
        <v>221500.36363636359</v>
      </c>
      <c r="D42" s="16">
        <f>Deploy_schedule!C21</f>
        <v>147666.90909090912</v>
      </c>
    </row>
    <row r="43" spans="1:13" x14ac:dyDescent="0.25">
      <c r="A43" t="s">
        <v>31</v>
      </c>
      <c r="B43" s="24">
        <f>SUM(B37:B42)</f>
        <v>1565581.8181818179</v>
      </c>
      <c r="C43" s="24">
        <f>SUM(C37:C42)</f>
        <v>955645.09090909082</v>
      </c>
      <c r="D43" s="24">
        <f>SUM(D37:D42)</f>
        <v>609936.72727272729</v>
      </c>
    </row>
    <row r="47" spans="1:13" x14ac:dyDescent="0.25">
      <c r="A47" s="25" t="str">
        <f>"Total emission (Metric Ton of CO2 in " &amp;General!$B$11&amp;" years)"</f>
        <v>Total emission (Metric Ton of CO2 in 7 years)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05" x14ac:dyDescent="0.25">
      <c r="B48" s="49" t="s">
        <v>212</v>
      </c>
      <c r="C48" s="49" t="s">
        <v>213</v>
      </c>
      <c r="D48" s="49" t="s">
        <v>214</v>
      </c>
    </row>
    <row r="49" spans="1:4" x14ac:dyDescent="0.25">
      <c r="A49" t="s">
        <v>24</v>
      </c>
      <c r="B49" s="66">
        <f t="shared" ref="B49:C54" si="6">(B37*$G$21/($G$19*$G$20))/2205</f>
        <v>278.67797979797979</v>
      </c>
      <c r="C49" s="66">
        <f t="shared" si="6"/>
        <v>167.20678787878782</v>
      </c>
      <c r="D49" s="66">
        <f>(D37*$G$21*$G$22/($G$19*$G$20))/2205</f>
        <v>89.176953535353533</v>
      </c>
    </row>
    <row r="50" spans="1:4" x14ac:dyDescent="0.25">
      <c r="A50" t="s">
        <v>25</v>
      </c>
      <c r="B50" s="66">
        <f t="shared" si="6"/>
        <v>1168.342626262626</v>
      </c>
      <c r="C50" s="66">
        <f t="shared" si="6"/>
        <v>747.73928080808048</v>
      </c>
      <c r="D50" s="66">
        <f t="shared" ref="D50:D54" si="7">(D38*$G$21*$G$22/($G$19*$G$20))/2205</f>
        <v>336.48267636363636</v>
      </c>
    </row>
    <row r="51" spans="1:4" x14ac:dyDescent="0.25">
      <c r="A51" t="s">
        <v>26</v>
      </c>
      <c r="B51" s="66">
        <f t="shared" si="6"/>
        <v>388.99070707070712</v>
      </c>
      <c r="C51" s="66">
        <f t="shared" si="6"/>
        <v>264.51368080808084</v>
      </c>
      <c r="D51" s="66">
        <f t="shared" si="7"/>
        <v>99.581621010100989</v>
      </c>
    </row>
    <row r="52" spans="1:4" x14ac:dyDescent="0.25">
      <c r="A52" t="s">
        <v>108</v>
      </c>
      <c r="B52" s="66">
        <f t="shared" si="6"/>
        <v>523.79151515151523</v>
      </c>
      <c r="C52" s="66">
        <f t="shared" si="6"/>
        <v>272.37158787878781</v>
      </c>
      <c r="D52" s="66">
        <f t="shared" si="7"/>
        <v>201.13594181818186</v>
      </c>
    </row>
    <row r="53" spans="1:4" x14ac:dyDescent="0.25">
      <c r="A53" t="s">
        <v>27</v>
      </c>
      <c r="B53" s="66">
        <f t="shared" si="6"/>
        <v>71.00767676767677</v>
      </c>
      <c r="C53" s="66">
        <f t="shared" si="6"/>
        <v>39.764298989898997</v>
      </c>
      <c r="D53" s="66">
        <f t="shared" si="7"/>
        <v>24.994702222222223</v>
      </c>
    </row>
    <row r="54" spans="1:4" x14ac:dyDescent="0.25">
      <c r="A54" t="s">
        <v>28</v>
      </c>
      <c r="B54" s="66">
        <f t="shared" si="6"/>
        <v>750.05414141414133</v>
      </c>
      <c r="C54" s="66">
        <f t="shared" si="6"/>
        <v>450.03248484848467</v>
      </c>
      <c r="D54" s="66">
        <f t="shared" si="7"/>
        <v>240.01732525252532</v>
      </c>
    </row>
    <row r="55" spans="1:4" x14ac:dyDescent="0.25">
      <c r="A55" t="s">
        <v>31</v>
      </c>
      <c r="B55" s="24">
        <f>SUM(B49:B54)</f>
        <v>3180.8646464646463</v>
      </c>
      <c r="C55" s="24">
        <f>SUM(C49:C54)</f>
        <v>1941.6281212121207</v>
      </c>
      <c r="D55" s="24">
        <f>SUM(D49:D54)</f>
        <v>991.3892202020204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22"/>
  <sheetViews>
    <sheetView zoomScale="115" zoomScaleNormal="115" workbookViewId="0">
      <selection activeCell="E14" sqref="E14"/>
    </sheetView>
  </sheetViews>
  <sheetFormatPr defaultRowHeight="15" x14ac:dyDescent="0.25"/>
  <cols>
    <col min="1" max="1" width="14.140625" bestFit="1" customWidth="1"/>
    <col min="3" max="3" width="13.5703125" customWidth="1"/>
    <col min="4" max="4" width="12.28515625" bestFit="1" customWidth="1"/>
    <col min="5" max="9" width="11.28515625" bestFit="1" customWidth="1"/>
    <col min="10" max="11" width="11.140625" bestFit="1" customWidth="1"/>
  </cols>
  <sheetData>
    <row r="1" spans="1:14" ht="18.75" x14ac:dyDescent="0.3">
      <c r="A1" s="9" t="s">
        <v>197</v>
      </c>
      <c r="B1" s="8"/>
      <c r="C1" s="8"/>
      <c r="D1" s="8"/>
      <c r="E1" s="8"/>
      <c r="F1" s="8" t="str">
        <f>"(Number of analysis years="&amp;General!$B$11&amp;")"</f>
        <v>(Number of analysis years=7)</v>
      </c>
      <c r="G1" s="8"/>
      <c r="H1" s="8"/>
      <c r="I1" s="8"/>
      <c r="J1" s="8"/>
      <c r="K1" s="95">
        <f>General!$B$11</f>
        <v>7</v>
      </c>
      <c r="L1" s="8"/>
      <c r="M1" s="8"/>
      <c r="N1" s="8"/>
    </row>
    <row r="2" spans="1:14" ht="45" x14ac:dyDescent="0.25">
      <c r="A2" s="93" t="s">
        <v>30</v>
      </c>
      <c r="B2" s="93" t="s">
        <v>29</v>
      </c>
      <c r="C2" s="49" t="s">
        <v>162</v>
      </c>
      <c r="D2" s="93" t="s">
        <v>31</v>
      </c>
      <c r="E2" s="93" t="str">
        <f>IF($K$1&gt;=1,"Year 1","")</f>
        <v>Year 1</v>
      </c>
      <c r="F2" s="93" t="str">
        <f>IF($K$1&gt;=2,"Year 2","")</f>
        <v>Year 2</v>
      </c>
      <c r="G2" s="93" t="str">
        <f>IF($K$1&gt;=3,"Year 3","")</f>
        <v>Year 3</v>
      </c>
      <c r="H2" s="93" t="str">
        <f>IF($K$1&gt;=4,"Year 4","")</f>
        <v>Year 4</v>
      </c>
      <c r="I2" s="93" t="str">
        <f>IF($K$1&gt;=5,"Year 5","")</f>
        <v>Year 5</v>
      </c>
      <c r="J2" s="93" t="str">
        <f>IF($K$1&gt;=6,"Year 6","")</f>
        <v>Year 6</v>
      </c>
      <c r="K2" s="93" t="str">
        <f>IF($K$1&gt;=7,"Year 7","")</f>
        <v>Year 7</v>
      </c>
      <c r="L2" s="93" t="str">
        <f>IF($K$1&gt;=8,"Year 8","")</f>
        <v/>
      </c>
      <c r="M2" s="93" t="str">
        <f>IF($K$1&gt;=9,"Year 9","")</f>
        <v/>
      </c>
      <c r="N2" s="93" t="str">
        <f>IF($K$1&gt;=10,"Year 10","")</f>
        <v/>
      </c>
    </row>
    <row r="3" spans="1:14" x14ac:dyDescent="0.25">
      <c r="A3" t="s">
        <v>24</v>
      </c>
      <c r="B3" s="10" t="s">
        <v>94</v>
      </c>
      <c r="C3" s="44">
        <v>0.1</v>
      </c>
      <c r="D3" s="37">
        <f>SUM(E3:N3)</f>
        <v>13716.18181818182</v>
      </c>
      <c r="E3" s="16">
        <f>IF(E$2&lt;&gt;"",'Inputs&amp;Assumptions'!$G26*$C3,"")</f>
        <v>1959.4545454545457</v>
      </c>
      <c r="F3" s="16">
        <f>IF(F$2&lt;&gt;"",'Inputs&amp;Assumptions'!$G26*$C3,"")</f>
        <v>1959.4545454545457</v>
      </c>
      <c r="G3" s="16">
        <f>IF(G$2&lt;&gt;"",'Inputs&amp;Assumptions'!$G26*$C3,"")</f>
        <v>1959.4545454545457</v>
      </c>
      <c r="H3" s="16">
        <f>IF(H$2&lt;&gt;"",'Inputs&amp;Assumptions'!$G26*$C3,"")</f>
        <v>1959.4545454545457</v>
      </c>
      <c r="I3" s="16">
        <f>IF(I$2&lt;&gt;"",'Inputs&amp;Assumptions'!$G26*$C3,"")</f>
        <v>1959.4545454545457</v>
      </c>
      <c r="J3" s="16">
        <f>IF(J$2&lt;&gt;"",'Inputs&amp;Assumptions'!$G26*$C3,"")</f>
        <v>1959.4545454545457</v>
      </c>
      <c r="K3" s="16">
        <f>IF(K$2&lt;&gt;"",'Inputs&amp;Assumptions'!$G26*$C3,"")</f>
        <v>1959.4545454545457</v>
      </c>
      <c r="L3" s="16" t="str">
        <f>IF(L$2&lt;&gt;"",'Inputs&amp;Assumptions'!$G26*$C3,"")</f>
        <v/>
      </c>
      <c r="M3" s="16" t="str">
        <f>IF(M$2&lt;&gt;"",'Inputs&amp;Assumptions'!$G26*$C3,"")</f>
        <v/>
      </c>
      <c r="N3" s="16" t="str">
        <f>IF(N$2&lt;&gt;"",'Inputs&amp;Assumptions'!$G26*$C3,"")</f>
        <v/>
      </c>
    </row>
    <row r="4" spans="1:14" x14ac:dyDescent="0.25">
      <c r="A4" t="s">
        <v>25</v>
      </c>
      <c r="B4" s="10" t="s">
        <v>94</v>
      </c>
      <c r="C4" s="44">
        <v>0.09</v>
      </c>
      <c r="D4" s="37">
        <f t="shared" ref="D4:D8" si="0">SUM(E4:N4)</f>
        <v>51753.927272727269</v>
      </c>
      <c r="E4" s="16">
        <f>IF(E$2&lt;&gt;"",'Inputs&amp;Assumptions'!$G27*$C4,"")</f>
        <v>7393.4181818181805</v>
      </c>
      <c r="F4" s="16">
        <f>IF(F$2&lt;&gt;"",'Inputs&amp;Assumptions'!$G27*$C4,"")</f>
        <v>7393.4181818181805</v>
      </c>
      <c r="G4" s="16">
        <f>IF(G$2&lt;&gt;"",'Inputs&amp;Assumptions'!$G27*$C4,"")</f>
        <v>7393.4181818181805</v>
      </c>
      <c r="H4" s="16">
        <f>IF(H$2&lt;&gt;"",'Inputs&amp;Assumptions'!$G27*$C4,"")</f>
        <v>7393.4181818181805</v>
      </c>
      <c r="I4" s="16">
        <f>IF(I$2&lt;&gt;"",'Inputs&amp;Assumptions'!$G27*$C4,"")</f>
        <v>7393.4181818181805</v>
      </c>
      <c r="J4" s="16">
        <f>IF(J$2&lt;&gt;"",'Inputs&amp;Assumptions'!$G27*$C4,"")</f>
        <v>7393.4181818181805</v>
      </c>
      <c r="K4" s="16">
        <f>IF(K$2&lt;&gt;"",'Inputs&amp;Assumptions'!$G27*$C4,"")</f>
        <v>7393.4181818181805</v>
      </c>
      <c r="L4" s="16" t="str">
        <f>IF(L$2&lt;&gt;"",'Inputs&amp;Assumptions'!$G27*$C4,"")</f>
        <v/>
      </c>
      <c r="M4" s="16" t="str">
        <f>IF(M$2&lt;&gt;"",'Inputs&amp;Assumptions'!$G27*$C4,"")</f>
        <v/>
      </c>
      <c r="N4" s="16" t="str">
        <f>IF(N$2&lt;&gt;"",'Inputs&amp;Assumptions'!$G27*$C4,"")</f>
        <v/>
      </c>
    </row>
    <row r="5" spans="1:14" x14ac:dyDescent="0.25">
      <c r="A5" t="s">
        <v>26</v>
      </c>
      <c r="B5" s="10" t="s">
        <v>94</v>
      </c>
      <c r="C5" s="44">
        <v>0.08</v>
      </c>
      <c r="D5" s="37">
        <f t="shared" si="0"/>
        <v>15316.50909090909</v>
      </c>
      <c r="E5" s="16">
        <f>IF(E$2&lt;&gt;"",'Inputs&amp;Assumptions'!$G28*$C5,"")</f>
        <v>2188.0727272727272</v>
      </c>
      <c r="F5" s="16">
        <f>IF(F$2&lt;&gt;"",'Inputs&amp;Assumptions'!$G28*$C5,"")</f>
        <v>2188.0727272727272</v>
      </c>
      <c r="G5" s="16">
        <f>IF(G$2&lt;&gt;"",'Inputs&amp;Assumptions'!$G28*$C5,"")</f>
        <v>2188.0727272727272</v>
      </c>
      <c r="H5" s="16">
        <f>IF(H$2&lt;&gt;"",'Inputs&amp;Assumptions'!$G28*$C5,"")</f>
        <v>2188.0727272727272</v>
      </c>
      <c r="I5" s="16">
        <f>IF(I$2&lt;&gt;"",'Inputs&amp;Assumptions'!$G28*$C5,"")</f>
        <v>2188.0727272727272</v>
      </c>
      <c r="J5" s="16">
        <f>IF(J$2&lt;&gt;"",'Inputs&amp;Assumptions'!$G28*$C5,"")</f>
        <v>2188.0727272727272</v>
      </c>
      <c r="K5" s="16">
        <f>IF(K$2&lt;&gt;"",'Inputs&amp;Assumptions'!$G28*$C5,"")</f>
        <v>2188.0727272727272</v>
      </c>
      <c r="L5" s="16" t="str">
        <f>IF(L$2&lt;&gt;"",'Inputs&amp;Assumptions'!$G28*$C5,"")</f>
        <v/>
      </c>
      <c r="M5" s="16" t="str">
        <f>IF(M$2&lt;&gt;"",'Inputs&amp;Assumptions'!$G28*$C5,"")</f>
        <v/>
      </c>
      <c r="N5" s="16" t="str">
        <f>IF(N$2&lt;&gt;"",'Inputs&amp;Assumptions'!$G28*$C5,"")</f>
        <v/>
      </c>
    </row>
    <row r="6" spans="1:14" x14ac:dyDescent="0.25">
      <c r="A6" t="s">
        <v>108</v>
      </c>
      <c r="B6" s="10" t="s">
        <v>94</v>
      </c>
      <c r="C6" s="44">
        <v>0.12</v>
      </c>
      <c r="D6" s="37">
        <f t="shared" si="0"/>
        <v>30936.436363636367</v>
      </c>
      <c r="E6" s="16">
        <f>IF(E$2&lt;&gt;"",'Inputs&amp;Assumptions'!$G29*$C6,"")</f>
        <v>4419.4909090909096</v>
      </c>
      <c r="F6" s="16">
        <f>IF(F$2&lt;&gt;"",'Inputs&amp;Assumptions'!$G29*$C6,"")</f>
        <v>4419.4909090909096</v>
      </c>
      <c r="G6" s="16">
        <f>IF(G$2&lt;&gt;"",'Inputs&amp;Assumptions'!$G29*$C6,"")</f>
        <v>4419.4909090909096</v>
      </c>
      <c r="H6" s="16">
        <f>IF(H$2&lt;&gt;"",'Inputs&amp;Assumptions'!$G29*$C6,"")</f>
        <v>4419.4909090909096</v>
      </c>
      <c r="I6" s="16">
        <f>IF(I$2&lt;&gt;"",'Inputs&amp;Assumptions'!$G29*$C6,"")</f>
        <v>4419.4909090909096</v>
      </c>
      <c r="J6" s="16">
        <f>IF(J$2&lt;&gt;"",'Inputs&amp;Assumptions'!$G29*$C6,"")</f>
        <v>4419.4909090909096</v>
      </c>
      <c r="K6" s="16">
        <f>IF(K$2&lt;&gt;"",'Inputs&amp;Assumptions'!$G29*$C6,"")</f>
        <v>4419.4909090909096</v>
      </c>
      <c r="L6" s="16" t="str">
        <f>IF(L$2&lt;&gt;"",'Inputs&amp;Assumptions'!$G29*$C6,"")</f>
        <v/>
      </c>
      <c r="M6" s="16" t="str">
        <f>IF(M$2&lt;&gt;"",'Inputs&amp;Assumptions'!$G29*$C6,"")</f>
        <v/>
      </c>
      <c r="N6" s="16" t="str">
        <f>IF(N$2&lt;&gt;"",'Inputs&amp;Assumptions'!$G29*$C6,"")</f>
        <v/>
      </c>
    </row>
    <row r="7" spans="1:14" x14ac:dyDescent="0.25">
      <c r="A7" t="s">
        <v>27</v>
      </c>
      <c r="B7" s="10" t="s">
        <v>94</v>
      </c>
      <c r="C7" s="44">
        <v>0.11</v>
      </c>
      <c r="D7" s="37">
        <f t="shared" si="0"/>
        <v>3844.3999999999996</v>
      </c>
      <c r="E7" s="16">
        <f>IF(E$2&lt;&gt;"",'Inputs&amp;Assumptions'!$G30*$C7,"")</f>
        <v>549.20000000000005</v>
      </c>
      <c r="F7" s="16">
        <f>IF(F$2&lt;&gt;"",'Inputs&amp;Assumptions'!$G30*$C7,"")</f>
        <v>549.20000000000005</v>
      </c>
      <c r="G7" s="16">
        <f>IF(G$2&lt;&gt;"",'Inputs&amp;Assumptions'!$G30*$C7,"")</f>
        <v>549.20000000000005</v>
      </c>
      <c r="H7" s="16">
        <f>IF(H$2&lt;&gt;"",'Inputs&amp;Assumptions'!$G30*$C7,"")</f>
        <v>549.20000000000005</v>
      </c>
      <c r="I7" s="16">
        <f>IF(I$2&lt;&gt;"",'Inputs&amp;Assumptions'!$G30*$C7,"")</f>
        <v>549.20000000000005</v>
      </c>
      <c r="J7" s="16">
        <f>IF(J$2&lt;&gt;"",'Inputs&amp;Assumptions'!$G30*$C7,"")</f>
        <v>549.20000000000005</v>
      </c>
      <c r="K7" s="16">
        <f>IF(K$2&lt;&gt;"",'Inputs&amp;Assumptions'!$G30*$C7,"")</f>
        <v>549.20000000000005</v>
      </c>
      <c r="L7" s="16" t="str">
        <f>IF(L$2&lt;&gt;"",'Inputs&amp;Assumptions'!$G30*$C7,"")</f>
        <v/>
      </c>
      <c r="M7" s="16" t="str">
        <f>IF(M$2&lt;&gt;"",'Inputs&amp;Assumptions'!$G30*$C7,"")</f>
        <v/>
      </c>
      <c r="N7" s="16" t="str">
        <f>IF(N$2&lt;&gt;"",'Inputs&amp;Assumptions'!$G30*$C7,"")</f>
        <v/>
      </c>
    </row>
    <row r="8" spans="1:14" x14ac:dyDescent="0.25">
      <c r="A8" t="s">
        <v>28</v>
      </c>
      <c r="B8" s="10" t="s">
        <v>94</v>
      </c>
      <c r="C8" s="44">
        <v>0.1</v>
      </c>
      <c r="D8" s="37">
        <f t="shared" si="0"/>
        <v>36916.727272727279</v>
      </c>
      <c r="E8" s="16">
        <f>IF(E$2&lt;&gt;"",'Inputs&amp;Assumptions'!$G31*$C8,"")</f>
        <v>5273.818181818182</v>
      </c>
      <c r="F8" s="16">
        <f>IF(F$2&lt;&gt;"",'Inputs&amp;Assumptions'!$G31*$C8,"")</f>
        <v>5273.818181818182</v>
      </c>
      <c r="G8" s="16">
        <f>IF(G$2&lt;&gt;"",'Inputs&amp;Assumptions'!$G31*$C8,"")</f>
        <v>5273.818181818182</v>
      </c>
      <c r="H8" s="16">
        <f>IF(H$2&lt;&gt;"",'Inputs&amp;Assumptions'!$G31*$C8,"")</f>
        <v>5273.818181818182</v>
      </c>
      <c r="I8" s="16">
        <f>IF(I$2&lt;&gt;"",'Inputs&amp;Assumptions'!$G31*$C8,"")</f>
        <v>5273.818181818182</v>
      </c>
      <c r="J8" s="16">
        <f>IF(J$2&lt;&gt;"",'Inputs&amp;Assumptions'!$G31*$C8,"")</f>
        <v>5273.818181818182</v>
      </c>
      <c r="K8" s="16">
        <f>IF(K$2&lt;&gt;"",'Inputs&amp;Assumptions'!$G31*$C8,"")</f>
        <v>5273.818181818182</v>
      </c>
      <c r="L8" s="16" t="str">
        <f>IF(L$2&lt;&gt;"",'Inputs&amp;Assumptions'!$G31*$C8,"")</f>
        <v/>
      </c>
      <c r="M8" s="16" t="str">
        <f>IF(M$2&lt;&gt;"",'Inputs&amp;Assumptions'!$G31*$C8,"")</f>
        <v/>
      </c>
      <c r="N8" s="16" t="str">
        <f>IF(N$2&lt;&gt;"",'Inputs&amp;Assumptions'!$G31*$C8,"")</f>
        <v/>
      </c>
    </row>
    <row r="9" spans="1:14" x14ac:dyDescent="0.25">
      <c r="A9" s="12" t="s">
        <v>32</v>
      </c>
      <c r="B9" s="13" t="s">
        <v>94</v>
      </c>
      <c r="C9" s="13"/>
      <c r="D9" s="38">
        <f>SUM(D3:D8)</f>
        <v>152484.18181818182</v>
      </c>
      <c r="E9" s="36">
        <f>IF(E2&lt;&gt;"",SUM(E3:E8),"")</f>
        <v>21783.454545454544</v>
      </c>
      <c r="F9" s="36">
        <f t="shared" ref="F9:N9" si="1">IF(F2&lt;&gt;"",SUM(F3:F8),"")</f>
        <v>21783.454545454544</v>
      </c>
      <c r="G9" s="36">
        <f t="shared" si="1"/>
        <v>21783.454545454544</v>
      </c>
      <c r="H9" s="36">
        <f t="shared" si="1"/>
        <v>21783.454545454544</v>
      </c>
      <c r="I9" s="36">
        <f t="shared" si="1"/>
        <v>21783.454545454544</v>
      </c>
      <c r="J9" s="36">
        <f t="shared" si="1"/>
        <v>21783.454545454544</v>
      </c>
      <c r="K9" s="36">
        <f t="shared" si="1"/>
        <v>21783.454545454544</v>
      </c>
      <c r="L9" s="36" t="str">
        <f t="shared" si="1"/>
        <v/>
      </c>
      <c r="M9" s="36" t="str">
        <f t="shared" si="1"/>
        <v/>
      </c>
      <c r="N9" s="36" t="str">
        <f t="shared" si="1"/>
        <v/>
      </c>
    </row>
    <row r="14" spans="1:14" ht="18.75" x14ac:dyDescent="0.3">
      <c r="A14" s="9" t="s">
        <v>198</v>
      </c>
      <c r="B14" s="8"/>
      <c r="C14" s="8"/>
      <c r="D14" s="8"/>
      <c r="E14" s="8"/>
      <c r="F14" s="8" t="str">
        <f>"(Number of analysis years="&amp;General!$B$11&amp;")"</f>
        <v>(Number of analysis years=7)</v>
      </c>
      <c r="G14" s="8"/>
      <c r="H14" s="8"/>
      <c r="I14" s="8"/>
      <c r="J14" s="8"/>
      <c r="K14" s="94"/>
      <c r="L14" s="8"/>
      <c r="M14" s="8"/>
      <c r="N14" s="18"/>
    </row>
    <row r="15" spans="1:14" x14ac:dyDescent="0.25">
      <c r="A15" s="67" t="s">
        <v>30</v>
      </c>
      <c r="B15" s="67" t="s">
        <v>29</v>
      </c>
      <c r="C15" s="67" t="s">
        <v>31</v>
      </c>
      <c r="D15" s="67" t="str">
        <f>IF($K$1&gt;=1,"Year 1","")</f>
        <v>Year 1</v>
      </c>
      <c r="E15" s="67" t="str">
        <f>IF($K$1&gt;=2,"Year 2","")</f>
        <v>Year 2</v>
      </c>
      <c r="F15" s="67" t="str">
        <f>IF($K$1&gt;=3,"Year 3","")</f>
        <v>Year 3</v>
      </c>
      <c r="G15" s="67" t="str">
        <f>IF($K$1&gt;=4,"Year 4","")</f>
        <v>Year 4</v>
      </c>
      <c r="H15" s="67" t="str">
        <f>IF($K$1&gt;=5,"Year 5","")</f>
        <v>Year 5</v>
      </c>
      <c r="I15" s="67" t="str">
        <f>IF($K$1&gt;=6,"Year 6","")</f>
        <v>Year 6</v>
      </c>
      <c r="J15" s="67" t="str">
        <f>IF($K$1&gt;=7,"Year 7","")</f>
        <v>Year 7</v>
      </c>
      <c r="K15" s="67" t="str">
        <f>IF($K$1&gt;=8,"Year 8","")</f>
        <v/>
      </c>
      <c r="L15" s="67" t="str">
        <f>IF($K$1&gt;=9,"Year 9","")</f>
        <v/>
      </c>
      <c r="M15" s="67" t="str">
        <f>IF($K$1&gt;=10,"Year 10","")</f>
        <v/>
      </c>
    </row>
    <row r="16" spans="1:14" x14ac:dyDescent="0.25">
      <c r="A16" t="s">
        <v>24</v>
      </c>
      <c r="B16" s="10" t="s">
        <v>94</v>
      </c>
      <c r="C16" s="62">
        <f>SUM(D16:M16)</f>
        <v>54864.727272727279</v>
      </c>
      <c r="D16" s="24">
        <f>IF(E$2&lt;&gt;"",E3,"")</f>
        <v>1959.4545454545457</v>
      </c>
      <c r="E16" s="24">
        <f t="shared" ref="E16:M16" si="2">IF(F$2&lt;&gt;"",D16+F3,"")</f>
        <v>3918.9090909090914</v>
      </c>
      <c r="F16" s="24">
        <f t="shared" si="2"/>
        <v>5878.3636363636369</v>
      </c>
      <c r="G16" s="24">
        <f t="shared" si="2"/>
        <v>7837.8181818181829</v>
      </c>
      <c r="H16" s="24">
        <f t="shared" si="2"/>
        <v>9797.2727272727279</v>
      </c>
      <c r="I16" s="24">
        <f t="shared" si="2"/>
        <v>11756.727272727274</v>
      </c>
      <c r="J16" s="24">
        <f t="shared" si="2"/>
        <v>13716.18181818182</v>
      </c>
      <c r="K16" s="16" t="str">
        <f t="shared" si="2"/>
        <v/>
      </c>
      <c r="L16" s="16" t="str">
        <f t="shared" si="2"/>
        <v/>
      </c>
      <c r="M16" s="16" t="str">
        <f t="shared" si="2"/>
        <v/>
      </c>
    </row>
    <row r="17" spans="1:13" x14ac:dyDescent="0.25">
      <c r="A17" t="s">
        <v>25</v>
      </c>
      <c r="B17" s="10" t="s">
        <v>94</v>
      </c>
      <c r="C17" s="62">
        <f t="shared" ref="C17:C21" si="3">SUM(D17:M17)</f>
        <v>207015.70909090908</v>
      </c>
      <c r="D17" s="24">
        <f t="shared" ref="D17:D21" si="4">IF(E$2&lt;&gt;"",E4,"")</f>
        <v>7393.4181818181805</v>
      </c>
      <c r="E17" s="24">
        <f t="shared" ref="E17:M17" si="5">IF(F$2&lt;&gt;"",D17+F4,"")</f>
        <v>14786.836363636361</v>
      </c>
      <c r="F17" s="24">
        <f t="shared" si="5"/>
        <v>22180.25454545454</v>
      </c>
      <c r="G17" s="24">
        <f t="shared" si="5"/>
        <v>29573.672727272722</v>
      </c>
      <c r="H17" s="24">
        <f t="shared" si="5"/>
        <v>36967.090909090904</v>
      </c>
      <c r="I17" s="24">
        <f t="shared" si="5"/>
        <v>44360.509090909087</v>
      </c>
      <c r="J17" s="24">
        <f t="shared" si="5"/>
        <v>51753.927272727269</v>
      </c>
      <c r="K17" s="16" t="str">
        <f t="shared" si="5"/>
        <v/>
      </c>
      <c r="L17" s="16" t="str">
        <f t="shared" si="5"/>
        <v/>
      </c>
      <c r="M17" s="16" t="str">
        <f t="shared" si="5"/>
        <v/>
      </c>
    </row>
    <row r="18" spans="1:13" x14ac:dyDescent="0.25">
      <c r="A18" t="s">
        <v>26</v>
      </c>
      <c r="B18" s="10" t="s">
        <v>94</v>
      </c>
      <c r="C18" s="62">
        <f t="shared" si="3"/>
        <v>61266.036363636362</v>
      </c>
      <c r="D18" s="24">
        <f t="shared" si="4"/>
        <v>2188.0727272727272</v>
      </c>
      <c r="E18" s="24">
        <f t="shared" ref="E18:M18" si="6">IF(F$2&lt;&gt;"",D18+F5,"")</f>
        <v>4376.1454545454544</v>
      </c>
      <c r="F18" s="24">
        <f t="shared" si="6"/>
        <v>6564.2181818181816</v>
      </c>
      <c r="G18" s="24">
        <f t="shared" si="6"/>
        <v>8752.2909090909088</v>
      </c>
      <c r="H18" s="24">
        <f t="shared" si="6"/>
        <v>10940.363636363636</v>
      </c>
      <c r="I18" s="24">
        <f t="shared" si="6"/>
        <v>13128.436363636363</v>
      </c>
      <c r="J18" s="24">
        <f t="shared" si="6"/>
        <v>15316.50909090909</v>
      </c>
      <c r="K18" s="16" t="str">
        <f t="shared" si="6"/>
        <v/>
      </c>
      <c r="L18" s="16" t="str">
        <f t="shared" si="6"/>
        <v/>
      </c>
      <c r="M18" s="16" t="str">
        <f t="shared" si="6"/>
        <v/>
      </c>
    </row>
    <row r="19" spans="1:13" x14ac:dyDescent="0.25">
      <c r="A19" t="s">
        <v>108</v>
      </c>
      <c r="B19" s="10" t="s">
        <v>94</v>
      </c>
      <c r="C19" s="62">
        <f t="shared" si="3"/>
        <v>123745.74545454548</v>
      </c>
      <c r="D19" s="24">
        <f t="shared" si="4"/>
        <v>4419.4909090909096</v>
      </c>
      <c r="E19" s="24">
        <f t="shared" ref="E19:M19" si="7">IF(F$2&lt;&gt;"",D19+F6,"")</f>
        <v>8838.9818181818191</v>
      </c>
      <c r="F19" s="24">
        <f t="shared" si="7"/>
        <v>13258.472727272729</v>
      </c>
      <c r="G19" s="24">
        <f t="shared" si="7"/>
        <v>17677.963636363638</v>
      </c>
      <c r="H19" s="24">
        <f t="shared" si="7"/>
        <v>22097.454545454548</v>
      </c>
      <c r="I19" s="24">
        <f t="shared" si="7"/>
        <v>26516.945454545457</v>
      </c>
      <c r="J19" s="24">
        <f t="shared" si="7"/>
        <v>30936.436363636367</v>
      </c>
      <c r="K19" s="16" t="str">
        <f t="shared" si="7"/>
        <v/>
      </c>
      <c r="L19" s="16" t="str">
        <f t="shared" si="7"/>
        <v/>
      </c>
      <c r="M19" s="16" t="str">
        <f t="shared" si="7"/>
        <v/>
      </c>
    </row>
    <row r="20" spans="1:13" x14ac:dyDescent="0.25">
      <c r="A20" t="s">
        <v>27</v>
      </c>
      <c r="B20" s="10" t="s">
        <v>94</v>
      </c>
      <c r="C20" s="62">
        <f t="shared" si="3"/>
        <v>15377.6</v>
      </c>
      <c r="D20" s="24">
        <f t="shared" si="4"/>
        <v>549.20000000000005</v>
      </c>
      <c r="E20" s="24">
        <f t="shared" ref="E20:M20" si="8">IF(F$2&lt;&gt;"",D20+F7,"")</f>
        <v>1098.4000000000001</v>
      </c>
      <c r="F20" s="24">
        <f t="shared" si="8"/>
        <v>1647.6000000000001</v>
      </c>
      <c r="G20" s="24">
        <f t="shared" si="8"/>
        <v>2196.8000000000002</v>
      </c>
      <c r="H20" s="24">
        <f t="shared" si="8"/>
        <v>2746</v>
      </c>
      <c r="I20" s="24">
        <f t="shared" si="8"/>
        <v>3295.2</v>
      </c>
      <c r="J20" s="24">
        <f t="shared" si="8"/>
        <v>3844.3999999999996</v>
      </c>
      <c r="K20" s="16" t="str">
        <f t="shared" si="8"/>
        <v/>
      </c>
      <c r="L20" s="16" t="str">
        <f t="shared" si="8"/>
        <v/>
      </c>
      <c r="M20" s="16" t="str">
        <f t="shared" si="8"/>
        <v/>
      </c>
    </row>
    <row r="21" spans="1:13" x14ac:dyDescent="0.25">
      <c r="A21" t="s">
        <v>28</v>
      </c>
      <c r="B21" s="10" t="s">
        <v>94</v>
      </c>
      <c r="C21" s="62">
        <f t="shared" si="3"/>
        <v>147666.90909090912</v>
      </c>
      <c r="D21" s="24">
        <f t="shared" si="4"/>
        <v>5273.818181818182</v>
      </c>
      <c r="E21" s="24">
        <f t="shared" ref="E21:M21" si="9">IF(F$2&lt;&gt;"",D21+F8,"")</f>
        <v>10547.636363636364</v>
      </c>
      <c r="F21" s="24">
        <f t="shared" si="9"/>
        <v>15821.454545454546</v>
      </c>
      <c r="G21" s="24">
        <f t="shared" si="9"/>
        <v>21095.272727272728</v>
      </c>
      <c r="H21" s="24">
        <f t="shared" si="9"/>
        <v>26369.090909090912</v>
      </c>
      <c r="I21" s="24">
        <f t="shared" si="9"/>
        <v>31642.909090909096</v>
      </c>
      <c r="J21" s="24">
        <f t="shared" si="9"/>
        <v>36916.727272727279</v>
      </c>
      <c r="K21" s="16" t="str">
        <f t="shared" si="9"/>
        <v/>
      </c>
      <c r="L21" s="16" t="str">
        <f t="shared" si="9"/>
        <v/>
      </c>
      <c r="M21" s="16" t="str">
        <f t="shared" si="9"/>
        <v/>
      </c>
    </row>
    <row r="22" spans="1:13" x14ac:dyDescent="0.25">
      <c r="A22" s="12" t="s">
        <v>32</v>
      </c>
      <c r="B22" s="13" t="s">
        <v>94</v>
      </c>
      <c r="C22" s="24">
        <f>IF(C15&lt;&gt;"",SUM(C16:C21),"")</f>
        <v>609936.72727272729</v>
      </c>
      <c r="D22" s="24">
        <f>IF(D15&lt;&gt;"",SUM(D16:D21),"")</f>
        <v>21783.454545454544</v>
      </c>
      <c r="E22" s="24">
        <f t="shared" ref="E22:M22" si="10">IF(E15&lt;&gt;"",SUM(E16:E21),"")</f>
        <v>43566.909090909088</v>
      </c>
      <c r="F22" s="24">
        <f t="shared" si="10"/>
        <v>65350.363636363625</v>
      </c>
      <c r="G22" s="24">
        <f t="shared" si="10"/>
        <v>87133.818181818177</v>
      </c>
      <c r="H22" s="24">
        <f t="shared" si="10"/>
        <v>108917.27272727272</v>
      </c>
      <c r="I22" s="24">
        <f t="shared" si="10"/>
        <v>130700.72727272729</v>
      </c>
      <c r="J22" s="24">
        <f t="shared" si="10"/>
        <v>152484.18181818182</v>
      </c>
      <c r="K22" s="24" t="str">
        <f t="shared" si="10"/>
        <v/>
      </c>
      <c r="L22" s="24" t="str">
        <f t="shared" si="10"/>
        <v/>
      </c>
      <c r="M22" s="24" t="str">
        <f t="shared" si="10"/>
        <v/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I24"/>
  <sheetViews>
    <sheetView workbookViewId="0">
      <selection activeCell="A13" sqref="A13"/>
    </sheetView>
  </sheetViews>
  <sheetFormatPr defaultRowHeight="15" x14ac:dyDescent="0.25"/>
  <cols>
    <col min="1" max="1" width="42" customWidth="1"/>
    <col min="2" max="2" width="13.85546875" customWidth="1"/>
    <col min="3" max="3" width="9.140625" customWidth="1"/>
    <col min="4" max="4" width="12.85546875" customWidth="1"/>
    <col min="5" max="5" width="12.28515625" customWidth="1"/>
    <col min="6" max="6" width="12.42578125" customWidth="1"/>
    <col min="7" max="7" width="13.5703125" customWidth="1"/>
    <col min="8" max="8" width="12.140625" customWidth="1"/>
    <col min="9" max="9" width="16.42578125" customWidth="1"/>
  </cols>
  <sheetData>
    <row r="1" spans="1:9" ht="18.75" x14ac:dyDescent="0.3">
      <c r="A1" s="9" t="s">
        <v>131</v>
      </c>
      <c r="B1" s="8"/>
      <c r="C1" s="8"/>
      <c r="D1" s="8"/>
    </row>
    <row r="3" spans="1:9" x14ac:dyDescent="0.25">
      <c r="A3" s="25" t="s">
        <v>85</v>
      </c>
      <c r="B3" s="8"/>
      <c r="C3" s="8"/>
      <c r="D3" s="8"/>
    </row>
    <row r="4" spans="1:9" ht="60" x14ac:dyDescent="0.25">
      <c r="A4" s="93" t="s">
        <v>34</v>
      </c>
      <c r="B4" s="93" t="s">
        <v>29</v>
      </c>
      <c r="C4" s="49" t="s">
        <v>88</v>
      </c>
      <c r="D4" s="49" t="s">
        <v>175</v>
      </c>
      <c r="E4" s="49" t="s">
        <v>163</v>
      </c>
      <c r="F4" s="49" t="s">
        <v>176</v>
      </c>
      <c r="G4" s="49" t="s">
        <v>164</v>
      </c>
      <c r="H4" s="93" t="s">
        <v>35</v>
      </c>
    </row>
    <row r="5" spans="1:9" x14ac:dyDescent="0.25">
      <c r="A5" s="21" t="s">
        <v>155</v>
      </c>
      <c r="B5" s="96" t="s">
        <v>234</v>
      </c>
      <c r="C5" s="56">
        <v>0</v>
      </c>
      <c r="D5" s="35">
        <v>0</v>
      </c>
      <c r="E5" s="35">
        <v>0</v>
      </c>
      <c r="F5" s="24">
        <f>D5*$C5</f>
        <v>0</v>
      </c>
      <c r="G5" s="24">
        <f>E5*$C5</f>
        <v>0</v>
      </c>
    </row>
    <row r="6" spans="1:9" x14ac:dyDescent="0.25">
      <c r="A6" s="21" t="s">
        <v>156</v>
      </c>
      <c r="B6" s="96" t="s">
        <v>234</v>
      </c>
      <c r="C6" s="56">
        <v>0</v>
      </c>
      <c r="D6" s="35">
        <v>0</v>
      </c>
      <c r="E6" s="35">
        <v>0</v>
      </c>
      <c r="F6" s="24">
        <f t="shared" ref="F6:G7" si="0">D6*$C6</f>
        <v>0</v>
      </c>
      <c r="G6" s="24">
        <f t="shared" si="0"/>
        <v>0</v>
      </c>
    </row>
    <row r="7" spans="1:9" x14ac:dyDescent="0.25">
      <c r="A7" s="21" t="s">
        <v>157</v>
      </c>
      <c r="B7" s="96" t="s">
        <v>234</v>
      </c>
      <c r="C7" s="56">
        <v>0</v>
      </c>
      <c r="D7" s="35">
        <v>0</v>
      </c>
      <c r="E7" s="35">
        <v>0</v>
      </c>
      <c r="F7" s="24">
        <f t="shared" si="0"/>
        <v>0</v>
      </c>
      <c r="G7" s="24">
        <f t="shared" si="0"/>
        <v>0</v>
      </c>
    </row>
    <row r="8" spans="1:9" x14ac:dyDescent="0.25">
      <c r="A8" s="55" t="s">
        <v>138</v>
      </c>
      <c r="F8" s="54">
        <f>SUM(F5:F7)</f>
        <v>0</v>
      </c>
      <c r="G8" s="54">
        <f>SUM(G5:G7)</f>
        <v>0</v>
      </c>
    </row>
    <row r="11" spans="1:9" x14ac:dyDescent="0.25">
      <c r="A11" s="25" t="s">
        <v>132</v>
      </c>
      <c r="B11" s="8"/>
      <c r="C11" s="8"/>
      <c r="D11" s="8"/>
    </row>
    <row r="12" spans="1:9" ht="60" x14ac:dyDescent="0.25">
      <c r="A12" s="93" t="s">
        <v>90</v>
      </c>
      <c r="B12" s="93" t="s">
        <v>29</v>
      </c>
      <c r="C12" s="49" t="s">
        <v>177</v>
      </c>
      <c r="D12" s="49" t="s">
        <v>165</v>
      </c>
      <c r="E12" s="49" t="s">
        <v>178</v>
      </c>
      <c r="F12" s="49" t="s">
        <v>166</v>
      </c>
      <c r="G12" s="49" t="s">
        <v>176</v>
      </c>
      <c r="H12" s="49" t="s">
        <v>164</v>
      </c>
      <c r="I12" s="93" t="s">
        <v>35</v>
      </c>
    </row>
    <row r="13" spans="1:9" x14ac:dyDescent="0.25">
      <c r="A13" s="21" t="s">
        <v>133</v>
      </c>
      <c r="B13" s="96" t="s">
        <v>137</v>
      </c>
      <c r="C13" s="56">
        <v>0</v>
      </c>
      <c r="D13" s="56">
        <v>0</v>
      </c>
      <c r="E13" s="35">
        <v>0</v>
      </c>
      <c r="F13" s="35">
        <v>0</v>
      </c>
      <c r="G13" s="24">
        <f>E13*C13</f>
        <v>0</v>
      </c>
      <c r="H13" s="24">
        <f>F13*D13</f>
        <v>0</v>
      </c>
    </row>
    <row r="14" spans="1:9" x14ac:dyDescent="0.25">
      <c r="A14" s="21" t="s">
        <v>136</v>
      </c>
      <c r="B14" s="96" t="s">
        <v>137</v>
      </c>
      <c r="C14" s="56">
        <v>0</v>
      </c>
      <c r="D14" s="56">
        <v>0</v>
      </c>
      <c r="E14" s="35">
        <v>0</v>
      </c>
      <c r="F14" s="35">
        <v>0</v>
      </c>
      <c r="G14" s="24">
        <f t="shared" ref="G14:H16" si="1">E14*C14</f>
        <v>0</v>
      </c>
      <c r="H14" s="24">
        <f t="shared" si="1"/>
        <v>0</v>
      </c>
    </row>
    <row r="15" spans="1:9" x14ac:dyDescent="0.25">
      <c r="A15" s="21" t="s">
        <v>135</v>
      </c>
      <c r="B15" s="96" t="s">
        <v>137</v>
      </c>
      <c r="C15" s="56">
        <v>0</v>
      </c>
      <c r="D15" s="56">
        <v>0</v>
      </c>
      <c r="E15" s="35">
        <v>0</v>
      </c>
      <c r="F15" s="35">
        <v>0</v>
      </c>
      <c r="G15" s="24">
        <f t="shared" si="1"/>
        <v>0</v>
      </c>
      <c r="H15" s="24">
        <f t="shared" si="1"/>
        <v>0</v>
      </c>
    </row>
    <row r="16" spans="1:9" x14ac:dyDescent="0.25">
      <c r="A16" s="21" t="s">
        <v>134</v>
      </c>
      <c r="B16" s="96" t="s">
        <v>137</v>
      </c>
      <c r="C16" s="56">
        <v>0</v>
      </c>
      <c r="D16" s="56">
        <v>0</v>
      </c>
      <c r="E16" s="35">
        <v>0</v>
      </c>
      <c r="F16" s="35">
        <v>0</v>
      </c>
      <c r="G16" s="24">
        <f t="shared" si="1"/>
        <v>0</v>
      </c>
      <c r="H16" s="24">
        <f t="shared" si="1"/>
        <v>0</v>
      </c>
    </row>
    <row r="17" spans="1:8" x14ac:dyDescent="0.25">
      <c r="A17" s="55" t="s">
        <v>138</v>
      </c>
      <c r="G17" s="54">
        <f>SUM(G13:G16)</f>
        <v>0</v>
      </c>
      <c r="H17" s="54">
        <f>SUM(H13:H16)</f>
        <v>0</v>
      </c>
    </row>
    <row r="20" spans="1:8" x14ac:dyDescent="0.25">
      <c r="A20" t="s">
        <v>179</v>
      </c>
      <c r="B20" s="3">
        <f>F8+G17</f>
        <v>0</v>
      </c>
    </row>
    <row r="21" spans="1:8" x14ac:dyDescent="0.25">
      <c r="A21" t="s">
        <v>167</v>
      </c>
      <c r="B21" s="3">
        <f>G8+H17</f>
        <v>0</v>
      </c>
    </row>
    <row r="22" spans="1:8" x14ac:dyDescent="0.25">
      <c r="A22" t="str">
        <f>"Total Benefits " &amp; "(for "&amp;General!$B$11&amp;" years)"</f>
        <v>Total Benefits (for 7 years)</v>
      </c>
      <c r="B22" s="47">
        <f>B20-B21</f>
        <v>0</v>
      </c>
    </row>
    <row r="24" spans="1:8" x14ac:dyDescent="0.25">
      <c r="A24" s="65" t="str">
        <f>IF(B22=0,"This sheet is not applicable to " &amp; General!$B$3 &amp; " Project","")</f>
        <v>This sheet is not applicable to NETC 9-02 Project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I24"/>
  <sheetViews>
    <sheetView zoomScaleNormal="100" workbookViewId="0">
      <selection activeCell="K33" sqref="K33"/>
    </sheetView>
  </sheetViews>
  <sheetFormatPr defaultRowHeight="15" x14ac:dyDescent="0.25"/>
  <cols>
    <col min="1" max="1" width="42" customWidth="1"/>
    <col min="2" max="2" width="13.85546875" customWidth="1"/>
    <col min="3" max="3" width="9.140625" customWidth="1"/>
    <col min="4" max="4" width="12.28515625" customWidth="1"/>
    <col min="5" max="5" width="11.85546875" customWidth="1"/>
    <col min="6" max="6" width="12.140625" customWidth="1"/>
    <col min="7" max="7" width="16.42578125" customWidth="1"/>
    <col min="8" max="8" width="16.140625" customWidth="1"/>
    <col min="9" max="9" width="33.140625" customWidth="1"/>
  </cols>
  <sheetData>
    <row r="1" spans="1:9" ht="18.75" x14ac:dyDescent="0.3">
      <c r="A1" s="9" t="s">
        <v>84</v>
      </c>
      <c r="B1" s="8"/>
      <c r="C1" s="8"/>
      <c r="D1" s="8"/>
    </row>
    <row r="3" spans="1:9" x14ac:dyDescent="0.25">
      <c r="A3" s="25" t="s">
        <v>85</v>
      </c>
      <c r="B3" s="8"/>
      <c r="C3" s="8"/>
      <c r="D3" s="8"/>
    </row>
    <row r="4" spans="1:9" ht="60" x14ac:dyDescent="0.25">
      <c r="A4" s="93" t="s">
        <v>34</v>
      </c>
      <c r="B4" s="93" t="s">
        <v>29</v>
      </c>
      <c r="C4" s="49" t="s">
        <v>88</v>
      </c>
      <c r="D4" s="49" t="s">
        <v>175</v>
      </c>
      <c r="E4" s="49" t="s">
        <v>163</v>
      </c>
      <c r="F4" s="49" t="s">
        <v>176</v>
      </c>
      <c r="G4" s="49" t="s">
        <v>164</v>
      </c>
      <c r="H4" s="93" t="s">
        <v>35</v>
      </c>
    </row>
    <row r="5" spans="1:9" x14ac:dyDescent="0.25">
      <c r="A5" s="21" t="s">
        <v>87</v>
      </c>
      <c r="B5" s="96" t="s">
        <v>234</v>
      </c>
      <c r="C5" s="56">
        <v>0</v>
      </c>
      <c r="D5" s="35">
        <v>0</v>
      </c>
      <c r="E5" s="35">
        <v>0</v>
      </c>
      <c r="F5" s="24">
        <f>D5*$C5</f>
        <v>0</v>
      </c>
      <c r="G5" s="24">
        <f>E5*$C5</f>
        <v>0</v>
      </c>
    </row>
    <row r="6" spans="1:9" x14ac:dyDescent="0.25">
      <c r="A6" s="21" t="s">
        <v>87</v>
      </c>
      <c r="B6" s="96" t="s">
        <v>234</v>
      </c>
      <c r="C6" s="56">
        <v>0</v>
      </c>
      <c r="D6" s="35">
        <v>0</v>
      </c>
      <c r="E6" s="35">
        <v>0</v>
      </c>
      <c r="F6" s="24">
        <f t="shared" ref="F6:F7" si="0">D6*$C6</f>
        <v>0</v>
      </c>
      <c r="G6" s="24">
        <f t="shared" ref="G6:G7" si="1">E6*$C6</f>
        <v>0</v>
      </c>
    </row>
    <row r="7" spans="1:9" x14ac:dyDescent="0.25">
      <c r="A7" s="21" t="s">
        <v>87</v>
      </c>
      <c r="B7" s="96" t="s">
        <v>234</v>
      </c>
      <c r="C7" s="56">
        <v>0</v>
      </c>
      <c r="D7" s="35">
        <v>0</v>
      </c>
      <c r="E7" s="35">
        <v>0</v>
      </c>
      <c r="F7" s="24">
        <f t="shared" si="0"/>
        <v>0</v>
      </c>
      <c r="G7" s="24">
        <f t="shared" si="1"/>
        <v>0</v>
      </c>
    </row>
    <row r="8" spans="1:9" x14ac:dyDescent="0.25">
      <c r="A8" s="55" t="s">
        <v>138</v>
      </c>
      <c r="F8" s="54">
        <f>SUM(F5:F7)</f>
        <v>0</v>
      </c>
      <c r="G8" s="54">
        <f>SUM(G5:G7)</f>
        <v>0</v>
      </c>
    </row>
    <row r="11" spans="1:9" x14ac:dyDescent="0.25">
      <c r="A11" s="25" t="s">
        <v>89</v>
      </c>
      <c r="B11" s="8"/>
      <c r="C11" s="8"/>
      <c r="D11" s="8"/>
    </row>
    <row r="12" spans="1:9" ht="60" x14ac:dyDescent="0.25">
      <c r="A12" s="93" t="s">
        <v>90</v>
      </c>
      <c r="B12" s="93" t="s">
        <v>29</v>
      </c>
      <c r="C12" s="49" t="s">
        <v>177</v>
      </c>
      <c r="D12" s="49" t="s">
        <v>165</v>
      </c>
      <c r="E12" s="49" t="s">
        <v>178</v>
      </c>
      <c r="F12" s="49" t="s">
        <v>166</v>
      </c>
      <c r="G12" s="49" t="s">
        <v>176</v>
      </c>
      <c r="H12" s="49" t="s">
        <v>164</v>
      </c>
      <c r="I12" s="93" t="s">
        <v>35</v>
      </c>
    </row>
    <row r="13" spans="1:9" ht="45" x14ac:dyDescent="0.25">
      <c r="A13" s="21" t="s">
        <v>65</v>
      </c>
      <c r="B13" s="96" t="s">
        <v>94</v>
      </c>
      <c r="C13" s="56">
        <v>69</v>
      </c>
      <c r="D13" s="56">
        <v>110</v>
      </c>
      <c r="E13" s="35">
        <f>Deploy_schedule!$D$9</f>
        <v>152484.18181818182</v>
      </c>
      <c r="F13" s="35">
        <f>Deploy_schedule!$D$9</f>
        <v>152484.18181818182</v>
      </c>
      <c r="G13" s="24">
        <f>E13*C13</f>
        <v>10521408.545454545</v>
      </c>
      <c r="H13" s="24">
        <f>F13*D13</f>
        <v>16773260</v>
      </c>
      <c r="I13" s="64" t="s">
        <v>217</v>
      </c>
    </row>
    <row r="14" spans="1:9" x14ac:dyDescent="0.25">
      <c r="A14" s="21" t="s">
        <v>86</v>
      </c>
      <c r="B14" s="96" t="s">
        <v>137</v>
      </c>
      <c r="C14" s="56">
        <v>0</v>
      </c>
      <c r="D14" s="56">
        <v>0</v>
      </c>
      <c r="E14" s="35">
        <v>0</v>
      </c>
      <c r="F14" s="35">
        <v>0</v>
      </c>
      <c r="G14" s="24">
        <f t="shared" ref="G14:G16" si="2">E14*C14</f>
        <v>0</v>
      </c>
      <c r="H14" s="24">
        <f t="shared" ref="H14:H16" si="3">F14*D14</f>
        <v>0</v>
      </c>
    </row>
    <row r="15" spans="1:9" x14ac:dyDescent="0.25">
      <c r="A15" s="21" t="s">
        <v>92</v>
      </c>
      <c r="B15" s="96" t="s">
        <v>137</v>
      </c>
      <c r="C15" s="56">
        <v>0</v>
      </c>
      <c r="D15" s="56">
        <v>0</v>
      </c>
      <c r="E15" s="35">
        <v>0</v>
      </c>
      <c r="F15" s="35">
        <v>0</v>
      </c>
      <c r="G15" s="24">
        <f t="shared" ref="G15" si="4">E15*C15</f>
        <v>0</v>
      </c>
      <c r="H15" s="24">
        <f t="shared" ref="H15" si="5">F15*D15</f>
        <v>0</v>
      </c>
    </row>
    <row r="16" spans="1:9" x14ac:dyDescent="0.25">
      <c r="A16" s="21" t="s">
        <v>93</v>
      </c>
      <c r="B16" s="96" t="s">
        <v>137</v>
      </c>
      <c r="C16" s="56">
        <v>0</v>
      </c>
      <c r="D16" s="56">
        <v>0</v>
      </c>
      <c r="E16" s="35">
        <v>0</v>
      </c>
      <c r="F16" s="35">
        <v>0</v>
      </c>
      <c r="G16" s="24">
        <f t="shared" si="2"/>
        <v>0</v>
      </c>
      <c r="H16" s="24">
        <f t="shared" si="3"/>
        <v>0</v>
      </c>
    </row>
    <row r="17" spans="1:8" x14ac:dyDescent="0.25">
      <c r="A17" s="55" t="s">
        <v>138</v>
      </c>
      <c r="G17" s="54">
        <f>SUM(G13:G16)</f>
        <v>10521408.545454545</v>
      </c>
      <c r="H17" s="54">
        <f>SUM(H13:H16)</f>
        <v>16773260</v>
      </c>
    </row>
    <row r="20" spans="1:8" x14ac:dyDescent="0.25">
      <c r="A20" t="s">
        <v>180</v>
      </c>
      <c r="B20" s="14">
        <f>F8+G17</f>
        <v>10521408.545454545</v>
      </c>
    </row>
    <row r="21" spans="1:8" x14ac:dyDescent="0.25">
      <c r="A21" t="s">
        <v>168</v>
      </c>
      <c r="B21" s="14">
        <f>G8+H17</f>
        <v>16773260</v>
      </c>
    </row>
    <row r="22" spans="1:8" x14ac:dyDescent="0.25">
      <c r="A22" t="str">
        <f>"Total Benefits " &amp; "(for "&amp;General!$B$11&amp;" years)"</f>
        <v>Total Benefits (for 7 years)</v>
      </c>
      <c r="B22" s="47">
        <f>B20-B21</f>
        <v>-6251851.4545454551</v>
      </c>
    </row>
    <row r="24" spans="1:8" x14ac:dyDescent="0.25">
      <c r="A24" s="65" t="str">
        <f>IF(B22=0,"This sheet is not applicable to " &amp; General!$B$3 &amp; " Project","")</f>
        <v/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24"/>
  <sheetViews>
    <sheetView zoomScaleNormal="100" workbookViewId="0">
      <selection activeCell="M31" sqref="M31"/>
    </sheetView>
  </sheetViews>
  <sheetFormatPr defaultRowHeight="15" x14ac:dyDescent="0.25"/>
  <cols>
    <col min="1" max="1" width="42" customWidth="1"/>
    <col min="2" max="2" width="15" customWidth="1"/>
    <col min="3" max="3" width="9.140625" customWidth="1"/>
    <col min="4" max="4" width="13" customWidth="1"/>
    <col min="5" max="5" width="16.28515625" customWidth="1"/>
    <col min="6" max="6" width="15.85546875" customWidth="1"/>
    <col min="7" max="7" width="17.140625" customWidth="1"/>
    <col min="8" max="8" width="13.7109375" customWidth="1"/>
    <col min="9" max="9" width="16.42578125" customWidth="1"/>
    <col min="10" max="10" width="50.28515625" customWidth="1"/>
  </cols>
  <sheetData>
    <row r="1" spans="1:10" ht="18.75" x14ac:dyDescent="0.3">
      <c r="A1" s="9" t="s">
        <v>96</v>
      </c>
      <c r="B1" s="8"/>
      <c r="C1" s="8"/>
      <c r="D1" s="8"/>
    </row>
    <row r="3" spans="1:10" x14ac:dyDescent="0.25">
      <c r="A3" s="25" t="s">
        <v>85</v>
      </c>
      <c r="B3" s="8"/>
      <c r="C3" s="8"/>
      <c r="D3" s="8"/>
    </row>
    <row r="4" spans="1:10" ht="45" x14ac:dyDescent="0.25">
      <c r="A4" s="93" t="s">
        <v>34</v>
      </c>
      <c r="B4" s="93" t="s">
        <v>29</v>
      </c>
      <c r="C4" s="49" t="s">
        <v>88</v>
      </c>
      <c r="D4" s="49" t="s">
        <v>175</v>
      </c>
      <c r="E4" s="49" t="s">
        <v>163</v>
      </c>
      <c r="F4" s="49" t="s">
        <v>176</v>
      </c>
      <c r="G4" s="49" t="s">
        <v>164</v>
      </c>
      <c r="H4" s="93" t="s">
        <v>35</v>
      </c>
    </row>
    <row r="5" spans="1:10" x14ac:dyDescent="0.25">
      <c r="A5" s="21" t="s">
        <v>87</v>
      </c>
      <c r="B5" s="96" t="s">
        <v>234</v>
      </c>
      <c r="C5" s="56">
        <v>0</v>
      </c>
      <c r="D5" s="35">
        <v>0</v>
      </c>
      <c r="E5" s="35">
        <v>0</v>
      </c>
      <c r="F5" s="24">
        <f>D5*$C5</f>
        <v>0</v>
      </c>
      <c r="G5" s="24">
        <f>E5*$C5</f>
        <v>0</v>
      </c>
    </row>
    <row r="6" spans="1:10" x14ac:dyDescent="0.25">
      <c r="A6" s="21" t="s">
        <v>87</v>
      </c>
      <c r="B6" s="96" t="s">
        <v>234</v>
      </c>
      <c r="C6" s="56">
        <v>0</v>
      </c>
      <c r="D6" s="35">
        <v>0</v>
      </c>
      <c r="E6" s="35">
        <v>0</v>
      </c>
      <c r="F6" s="24">
        <f t="shared" ref="F6:G7" si="0">D6*$C6</f>
        <v>0</v>
      </c>
      <c r="G6" s="24">
        <f t="shared" si="0"/>
        <v>0</v>
      </c>
    </row>
    <row r="7" spans="1:10" x14ac:dyDescent="0.25">
      <c r="A7" s="21" t="s">
        <v>87</v>
      </c>
      <c r="B7" s="96" t="s">
        <v>234</v>
      </c>
      <c r="C7" s="56">
        <v>0</v>
      </c>
      <c r="D7" s="35">
        <v>0</v>
      </c>
      <c r="E7" s="35">
        <v>0</v>
      </c>
      <c r="F7" s="24">
        <f t="shared" si="0"/>
        <v>0</v>
      </c>
      <c r="G7" s="24">
        <f t="shared" si="0"/>
        <v>0</v>
      </c>
    </row>
    <row r="8" spans="1:10" x14ac:dyDescent="0.25">
      <c r="A8" s="55" t="s">
        <v>138</v>
      </c>
      <c r="F8" s="54">
        <f>SUM(F5:F7)</f>
        <v>0</v>
      </c>
      <c r="G8" s="54">
        <f>SUM(G5:G7)</f>
        <v>0</v>
      </c>
    </row>
    <row r="11" spans="1:10" x14ac:dyDescent="0.25">
      <c r="A11" s="25" t="s">
        <v>89</v>
      </c>
      <c r="B11" s="8"/>
      <c r="C11" s="8"/>
      <c r="D11" s="8"/>
    </row>
    <row r="12" spans="1:10" ht="75" x14ac:dyDescent="0.25">
      <c r="A12" s="93" t="s">
        <v>90</v>
      </c>
      <c r="B12" s="93" t="s">
        <v>29</v>
      </c>
      <c r="C12" s="49" t="s">
        <v>177</v>
      </c>
      <c r="D12" s="49" t="s">
        <v>165</v>
      </c>
      <c r="E12" s="97" t="s">
        <v>202</v>
      </c>
      <c r="F12" s="98" t="s">
        <v>203</v>
      </c>
      <c r="G12" s="98" t="s">
        <v>204</v>
      </c>
      <c r="H12" s="49" t="s">
        <v>176</v>
      </c>
      <c r="I12" s="49" t="s">
        <v>164</v>
      </c>
      <c r="J12" s="93" t="s">
        <v>35</v>
      </c>
    </row>
    <row r="13" spans="1:10" ht="60" x14ac:dyDescent="0.25">
      <c r="A13" s="48" t="s">
        <v>72</v>
      </c>
      <c r="B13" s="96" t="s">
        <v>94</v>
      </c>
      <c r="C13" s="56">
        <v>100</v>
      </c>
      <c r="D13" s="56">
        <f>C13*'Inputs&amp;Assumptions'!$G$22</f>
        <v>80</v>
      </c>
      <c r="E13" s="35">
        <f>'Inputs&amp;Assumptions'!$B$43</f>
        <v>1565581.8181818179</v>
      </c>
      <c r="F13" s="35">
        <f>'Inputs&amp;Assumptions'!$C$43</f>
        <v>955645.09090909082</v>
      </c>
      <c r="G13" s="35">
        <f>'Inputs&amp;Assumptions'!$D$43</f>
        <v>609936.72727272729</v>
      </c>
      <c r="H13" s="24">
        <f>E13*C13</f>
        <v>156558181.81818178</v>
      </c>
      <c r="I13" s="24">
        <f>C13*F13+D13*G13</f>
        <v>144359447.27272725</v>
      </c>
      <c r="J13" s="64" t="s">
        <v>207</v>
      </c>
    </row>
    <row r="14" spans="1:10" ht="30" x14ac:dyDescent="0.25">
      <c r="A14" s="21" t="s">
        <v>73</v>
      </c>
      <c r="B14" s="96" t="s">
        <v>94</v>
      </c>
      <c r="C14" s="56">
        <v>20</v>
      </c>
      <c r="D14" s="56">
        <v>10</v>
      </c>
      <c r="E14" s="35">
        <f>'Inputs&amp;Assumptions'!$B$43</f>
        <v>1565581.8181818179</v>
      </c>
      <c r="F14" s="35">
        <f>'Inputs&amp;Assumptions'!$C$43</f>
        <v>955645.09090909082</v>
      </c>
      <c r="G14" s="35">
        <f>'Inputs&amp;Assumptions'!$D$43</f>
        <v>609936.72727272729</v>
      </c>
      <c r="H14" s="24">
        <f>E14*C14</f>
        <v>31311636.36363636</v>
      </c>
      <c r="I14" s="24">
        <f t="shared" ref="I14:I15" si="1">C14*F14+D14*G14</f>
        <v>25212269.09090909</v>
      </c>
      <c r="J14" s="64" t="s">
        <v>205</v>
      </c>
    </row>
    <row r="15" spans="1:10" x14ac:dyDescent="0.25">
      <c r="A15" s="21" t="s">
        <v>74</v>
      </c>
      <c r="B15" s="96" t="s">
        <v>94</v>
      </c>
      <c r="C15" s="56">
        <v>30</v>
      </c>
      <c r="D15" s="56">
        <v>5</v>
      </c>
      <c r="E15" s="35">
        <f>'Inputs&amp;Assumptions'!$B$43</f>
        <v>1565581.8181818179</v>
      </c>
      <c r="F15" s="35">
        <f>'Inputs&amp;Assumptions'!$C$43</f>
        <v>955645.09090909082</v>
      </c>
      <c r="G15" s="35">
        <f>'Inputs&amp;Assumptions'!$D$43</f>
        <v>609936.72727272729</v>
      </c>
      <c r="H15" s="24">
        <f>F15*C15</f>
        <v>28669352.727272727</v>
      </c>
      <c r="I15" s="24">
        <f t="shared" si="1"/>
        <v>31719036.363636363</v>
      </c>
      <c r="J15" s="64" t="s">
        <v>206</v>
      </c>
    </row>
    <row r="16" spans="1:10" x14ac:dyDescent="0.25">
      <c r="A16" s="21" t="s">
        <v>93</v>
      </c>
      <c r="B16" s="96" t="s">
        <v>137</v>
      </c>
      <c r="C16" s="56">
        <v>0</v>
      </c>
      <c r="D16" s="56">
        <v>0</v>
      </c>
      <c r="E16" s="56"/>
      <c r="F16" s="35">
        <v>0</v>
      </c>
      <c r="G16" s="35">
        <v>0</v>
      </c>
      <c r="H16" s="24">
        <f>F16*C16</f>
        <v>0</v>
      </c>
      <c r="I16" s="24">
        <f>G16*D16</f>
        <v>0</v>
      </c>
    </row>
    <row r="17" spans="1:9" x14ac:dyDescent="0.25">
      <c r="A17" s="55" t="s">
        <v>138</v>
      </c>
      <c r="H17" s="54">
        <f>SUM(H13:H16)</f>
        <v>216539170.90909085</v>
      </c>
      <c r="I17" s="54">
        <f>SUM(I13:I16)</f>
        <v>201290752.72727272</v>
      </c>
    </row>
    <row r="20" spans="1:9" x14ac:dyDescent="0.25">
      <c r="A20" t="s">
        <v>181</v>
      </c>
      <c r="B20" s="14">
        <f>F8+H17</f>
        <v>216539170.90909085</v>
      </c>
    </row>
    <row r="21" spans="1:9" x14ac:dyDescent="0.25">
      <c r="A21" t="s">
        <v>169</v>
      </c>
      <c r="B21" s="14">
        <f>G8+I17</f>
        <v>201290752.72727272</v>
      </c>
    </row>
    <row r="22" spans="1:9" x14ac:dyDescent="0.25">
      <c r="A22" t="str">
        <f>"Total Benefits " &amp; "(for "&amp;General!$B$11&amp;" years)"</f>
        <v>Total Benefits (for 7 years)</v>
      </c>
      <c r="B22" s="47">
        <f>B20-B21</f>
        <v>15248418.181818128</v>
      </c>
    </row>
    <row r="24" spans="1:9" x14ac:dyDescent="0.25">
      <c r="A24" s="65" t="str">
        <f>IF(B22=0,"This sheet is not applicable to " &amp; General!$B$3 &amp; " Project","")</f>
        <v/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G23"/>
  <sheetViews>
    <sheetView workbookViewId="0">
      <selection activeCell="B10" sqref="B10"/>
    </sheetView>
  </sheetViews>
  <sheetFormatPr defaultRowHeight="15" x14ac:dyDescent="0.25"/>
  <cols>
    <col min="1" max="1" width="42" customWidth="1"/>
    <col min="2" max="2" width="15" customWidth="1"/>
    <col min="3" max="3" width="11.7109375" customWidth="1"/>
    <col min="4" max="4" width="12.7109375" customWidth="1"/>
    <col min="5" max="5" width="16.42578125" customWidth="1"/>
    <col min="6" max="6" width="16.140625" customWidth="1"/>
    <col min="7" max="7" width="16.42578125" customWidth="1"/>
  </cols>
  <sheetData>
    <row r="1" spans="1:7" ht="18.75" x14ac:dyDescent="0.3">
      <c r="A1" s="9" t="s">
        <v>139</v>
      </c>
      <c r="B1" s="8"/>
      <c r="C1" s="8"/>
      <c r="D1" s="8"/>
    </row>
    <row r="3" spans="1:7" x14ac:dyDescent="0.25">
      <c r="A3" s="25" t="s">
        <v>140</v>
      </c>
      <c r="B3" s="8"/>
      <c r="C3" s="8"/>
      <c r="D3" s="8"/>
    </row>
    <row r="4" spans="1:7" x14ac:dyDescent="0.25">
      <c r="A4" t="s">
        <v>141</v>
      </c>
      <c r="B4" s="35">
        <v>0</v>
      </c>
    </row>
    <row r="5" spans="1:7" x14ac:dyDescent="0.25">
      <c r="A5" t="s">
        <v>142</v>
      </c>
      <c r="B5" s="35">
        <v>0</v>
      </c>
    </row>
    <row r="9" spans="1:7" x14ac:dyDescent="0.25">
      <c r="A9" s="25" t="s">
        <v>143</v>
      </c>
      <c r="B9" s="8"/>
      <c r="C9" s="8"/>
      <c r="D9" s="8"/>
    </row>
    <row r="10" spans="1:7" ht="60" x14ac:dyDescent="0.25">
      <c r="A10" s="93" t="s">
        <v>90</v>
      </c>
      <c r="B10" s="93" t="s">
        <v>29</v>
      </c>
      <c r="C10" s="49" t="s">
        <v>235</v>
      </c>
      <c r="D10" s="49" t="s">
        <v>236</v>
      </c>
      <c r="E10" s="49" t="s">
        <v>237</v>
      </c>
      <c r="F10" s="49" t="s">
        <v>238</v>
      </c>
      <c r="G10" s="93" t="s">
        <v>35</v>
      </c>
    </row>
    <row r="11" spans="1:7" x14ac:dyDescent="0.25">
      <c r="A11" s="21" t="s">
        <v>91</v>
      </c>
      <c r="B11" s="96" t="s">
        <v>137</v>
      </c>
      <c r="C11" s="56">
        <v>0</v>
      </c>
      <c r="D11" s="56">
        <f>C11*'Inputs&amp;Assumptions'!$G$22</f>
        <v>0</v>
      </c>
      <c r="E11" s="35">
        <v>0</v>
      </c>
      <c r="F11" s="35">
        <v>0</v>
      </c>
    </row>
    <row r="12" spans="1:7" x14ac:dyDescent="0.25">
      <c r="A12" s="21" t="s">
        <v>86</v>
      </c>
      <c r="B12" s="96" t="s">
        <v>137</v>
      </c>
      <c r="C12" s="56">
        <v>0</v>
      </c>
      <c r="D12" s="56">
        <v>0</v>
      </c>
      <c r="E12" s="35">
        <v>0</v>
      </c>
      <c r="F12" s="35">
        <v>0</v>
      </c>
    </row>
    <row r="13" spans="1:7" x14ac:dyDescent="0.25">
      <c r="A13" s="21" t="s">
        <v>92</v>
      </c>
      <c r="B13" s="96" t="s">
        <v>137</v>
      </c>
      <c r="C13" s="56">
        <v>0</v>
      </c>
      <c r="D13" s="56">
        <v>0</v>
      </c>
      <c r="E13" s="35">
        <v>0</v>
      </c>
      <c r="F13" s="35">
        <v>0</v>
      </c>
    </row>
    <row r="14" spans="1:7" x14ac:dyDescent="0.25">
      <c r="A14" s="21" t="s">
        <v>93</v>
      </c>
      <c r="B14" s="96" t="s">
        <v>137</v>
      </c>
      <c r="C14" s="56">
        <v>0</v>
      </c>
      <c r="D14" s="56">
        <v>0</v>
      </c>
      <c r="E14" s="35">
        <v>0</v>
      </c>
      <c r="F14" s="35">
        <v>0</v>
      </c>
    </row>
    <row r="15" spans="1:7" x14ac:dyDescent="0.25">
      <c r="A15" s="23" t="s">
        <v>138</v>
      </c>
      <c r="E15" s="26">
        <f>SUM(E11:E14)</f>
        <v>0</v>
      </c>
      <c r="F15" s="26">
        <f>SUM(F11:F14)</f>
        <v>0</v>
      </c>
    </row>
    <row r="18" spans="1:2" x14ac:dyDescent="0.25">
      <c r="A18" t="s">
        <v>182</v>
      </c>
      <c r="B18" s="14">
        <f>E15</f>
        <v>0</v>
      </c>
    </row>
    <row r="19" spans="1:2" x14ac:dyDescent="0.25">
      <c r="A19" t="s">
        <v>170</v>
      </c>
      <c r="B19" s="14">
        <f>F15</f>
        <v>0</v>
      </c>
    </row>
    <row r="20" spans="1:2" x14ac:dyDescent="0.25">
      <c r="A20" t="s">
        <v>118</v>
      </c>
      <c r="B20" s="47">
        <f>B18-B19</f>
        <v>0</v>
      </c>
    </row>
    <row r="21" spans="1:2" x14ac:dyDescent="0.25">
      <c r="A21" t="str">
        <f>"Total Benefits " &amp; "(for "&amp;General!$B$11&amp;" years)"</f>
        <v>Total Benefits (for 7 years)</v>
      </c>
      <c r="B21" s="47">
        <f>B20*General!$B$11</f>
        <v>0</v>
      </c>
    </row>
    <row r="23" spans="1:2" x14ac:dyDescent="0.25">
      <c r="A23" s="65" t="str">
        <f>IF(B21=0,"This sheet is not applicable to " &amp; General!$B$3 &amp; " Project","")</f>
        <v>This sheet is not applicable to NETC 9-02 Project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I18"/>
  <sheetViews>
    <sheetView workbookViewId="0">
      <selection activeCell="A6" sqref="A6"/>
    </sheetView>
  </sheetViews>
  <sheetFormatPr defaultRowHeight="15" x14ac:dyDescent="0.25"/>
  <cols>
    <col min="1" max="1" width="42" customWidth="1"/>
    <col min="2" max="2" width="15" customWidth="1"/>
    <col min="3" max="3" width="9.140625" customWidth="1"/>
    <col min="4" max="4" width="14.42578125" customWidth="1"/>
    <col min="6" max="6" width="12.85546875" customWidth="1"/>
    <col min="7" max="7" width="10.7109375" customWidth="1"/>
    <col min="8" max="8" width="16.140625" customWidth="1"/>
    <col min="9" max="9" width="16.42578125" customWidth="1"/>
  </cols>
  <sheetData>
    <row r="1" spans="1:9" ht="18.75" x14ac:dyDescent="0.3">
      <c r="A1" s="9" t="s">
        <v>144</v>
      </c>
      <c r="B1" s="8"/>
      <c r="C1" s="8"/>
      <c r="D1" s="8"/>
    </row>
    <row r="4" spans="1:9" x14ac:dyDescent="0.25">
      <c r="A4" s="25" t="s">
        <v>145</v>
      </c>
      <c r="B4" s="8"/>
      <c r="C4" s="8"/>
      <c r="D4" s="8"/>
    </row>
    <row r="5" spans="1:9" ht="60" x14ac:dyDescent="0.25">
      <c r="A5" s="93" t="s">
        <v>146</v>
      </c>
      <c r="B5" s="93" t="s">
        <v>29</v>
      </c>
      <c r="C5" s="49" t="s">
        <v>177</v>
      </c>
      <c r="D5" s="49" t="s">
        <v>165</v>
      </c>
      <c r="E5" s="49" t="s">
        <v>178</v>
      </c>
      <c r="F5" s="49" t="s">
        <v>166</v>
      </c>
      <c r="G5" s="49" t="s">
        <v>176</v>
      </c>
      <c r="H5" s="49" t="s">
        <v>164</v>
      </c>
      <c r="I5" s="93" t="s">
        <v>35</v>
      </c>
    </row>
    <row r="6" spans="1:9" x14ac:dyDescent="0.25">
      <c r="A6" s="21" t="s">
        <v>91</v>
      </c>
      <c r="B6" s="96" t="s">
        <v>137</v>
      </c>
      <c r="C6" s="56">
        <v>0</v>
      </c>
      <c r="D6" s="56">
        <v>0</v>
      </c>
      <c r="E6" s="35">
        <v>0</v>
      </c>
      <c r="F6" s="35">
        <v>0</v>
      </c>
      <c r="G6" s="24">
        <f>E6*C6</f>
        <v>0</v>
      </c>
      <c r="H6" s="24">
        <f>F6*D6</f>
        <v>0</v>
      </c>
    </row>
    <row r="7" spans="1:9" x14ac:dyDescent="0.25">
      <c r="A7" s="21" t="s">
        <v>86</v>
      </c>
      <c r="B7" s="96" t="s">
        <v>137</v>
      </c>
      <c r="C7" s="56">
        <v>0</v>
      </c>
      <c r="D7" s="56">
        <v>0</v>
      </c>
      <c r="E7" s="35">
        <v>0</v>
      </c>
      <c r="F7" s="35">
        <v>0</v>
      </c>
      <c r="G7" s="24">
        <f t="shared" ref="G7:H9" si="0">E7*C7</f>
        <v>0</v>
      </c>
      <c r="H7" s="24">
        <f t="shared" si="0"/>
        <v>0</v>
      </c>
    </row>
    <row r="8" spans="1:9" x14ac:dyDescent="0.25">
      <c r="A8" s="21" t="s">
        <v>92</v>
      </c>
      <c r="B8" s="96" t="s">
        <v>137</v>
      </c>
      <c r="C8" s="56">
        <v>0</v>
      </c>
      <c r="D8" s="56">
        <v>0</v>
      </c>
      <c r="E8" s="35">
        <v>0</v>
      </c>
      <c r="F8" s="35">
        <v>0</v>
      </c>
      <c r="G8" s="24">
        <f t="shared" si="0"/>
        <v>0</v>
      </c>
      <c r="H8" s="24">
        <f t="shared" si="0"/>
        <v>0</v>
      </c>
    </row>
    <row r="9" spans="1:9" x14ac:dyDescent="0.25">
      <c r="A9" s="21" t="s">
        <v>93</v>
      </c>
      <c r="B9" s="96" t="s">
        <v>137</v>
      </c>
      <c r="C9" s="56">
        <v>0</v>
      </c>
      <c r="D9" s="56">
        <v>0</v>
      </c>
      <c r="E9" s="35">
        <v>0</v>
      </c>
      <c r="F9" s="35">
        <v>0</v>
      </c>
      <c r="G9" s="24">
        <f t="shared" si="0"/>
        <v>0</v>
      </c>
      <c r="H9" s="24">
        <f t="shared" si="0"/>
        <v>0</v>
      </c>
    </row>
    <row r="10" spans="1:9" x14ac:dyDescent="0.25">
      <c r="A10" s="55" t="s">
        <v>138</v>
      </c>
      <c r="G10" s="54">
        <f>SUM(G6:G9)</f>
        <v>0</v>
      </c>
      <c r="H10" s="54">
        <f>SUM(H6:H9)</f>
        <v>0</v>
      </c>
    </row>
    <row r="13" spans="1:9" x14ac:dyDescent="0.25">
      <c r="A13" t="s">
        <v>183</v>
      </c>
      <c r="B13" s="14">
        <f>G10</f>
        <v>0</v>
      </c>
    </row>
    <row r="14" spans="1:9" x14ac:dyDescent="0.25">
      <c r="A14" t="s">
        <v>171</v>
      </c>
      <c r="B14" s="14">
        <f>H10</f>
        <v>0</v>
      </c>
    </row>
    <row r="15" spans="1:9" x14ac:dyDescent="0.25">
      <c r="A15" t="s">
        <v>118</v>
      </c>
      <c r="B15" s="47">
        <f>B13-B14</f>
        <v>0</v>
      </c>
    </row>
    <row r="16" spans="1:9" x14ac:dyDescent="0.25">
      <c r="A16" t="str">
        <f>"Total Benefits " &amp; "(for "&amp;General!$B$11&amp;" years)"</f>
        <v>Total Benefits (for 7 years)</v>
      </c>
      <c r="B16" s="47">
        <f>B15*General!$B$11</f>
        <v>0</v>
      </c>
    </row>
    <row r="18" spans="1:1" x14ac:dyDescent="0.25">
      <c r="A18" s="65" t="str">
        <f>IF(B16=0,"This sheet is not applicable to " &amp; General!$B$3 &amp; " Project","")</f>
        <v>This sheet is not applicable to NETC 9-02 Project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General</vt:lpstr>
      <vt:lpstr>Benefit_category</vt:lpstr>
      <vt:lpstr>Inputs&amp;Assumptions</vt:lpstr>
      <vt:lpstr>Deploy_schedule</vt:lpstr>
      <vt:lpstr>1.Eng&amp;Admin</vt:lpstr>
      <vt:lpstr>2.Cons&amp;Inst</vt:lpstr>
      <vt:lpstr>3.Ops&amp;Maint</vt:lpstr>
      <vt:lpstr>4.Lifecycle</vt:lpstr>
      <vt:lpstr>5.Road_users</vt:lpstr>
      <vt:lpstr>6.Safety</vt:lpstr>
      <vt:lpstr>7.Environment</vt:lpstr>
      <vt:lpstr>8.Risk_Mgmt</vt:lpstr>
      <vt:lpstr>9.Others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Le, Thanh</dc:creator>
  <cp:lastModifiedBy>Hannah Ullman</cp:lastModifiedBy>
  <dcterms:created xsi:type="dcterms:W3CDTF">2018-09-25T19:58:43Z</dcterms:created>
  <dcterms:modified xsi:type="dcterms:W3CDTF">2019-02-12T21:17:12Z</dcterms:modified>
</cp:coreProperties>
</file>